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comments2.xml" ContentType="application/vnd.openxmlformats-officedocument.spreadsheetml.comments+xml"/>
  <Override PartName="/xl/tables/table6.xml" ContentType="application/vnd.openxmlformats-officedocument.spreadsheetml.table+xml"/>
  <Override PartName="/xl/comments3.xml" ContentType="application/vnd.openxmlformats-officedocument.spreadsheetml.comments+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codeName="ThisWorkbook"/>
  <mc:AlternateContent xmlns:mc="http://schemas.openxmlformats.org/markup-compatibility/2006">
    <mc:Choice Requires="x15">
      <x15ac:absPath xmlns:x15ac="http://schemas.microsoft.com/office/spreadsheetml/2010/11/ac" url="C:\Users\Awheeler\Documents\"/>
    </mc:Choice>
  </mc:AlternateContent>
  <xr:revisionPtr revIDLastSave="0" documentId="13_ncr:1_{04B37B35-DF8F-4379-A165-E4A33A4916D6}" xr6:coauthVersionLast="46" xr6:coauthVersionMax="46" xr10:uidLastSave="{00000000-0000-0000-0000-000000000000}"/>
  <bookViews>
    <workbookView xWindow="28680" yWindow="-120" windowWidth="29040" windowHeight="15840" tabRatio="829" xr2:uid="{00000000-000D-0000-FFFF-FFFF00000000}"/>
  </bookViews>
  <sheets>
    <sheet name="Costing Questions" sheetId="67" r:id="rId1"/>
    <sheet name="Project-Specific Costs" sheetId="73" r:id="rId2"/>
    <sheet name="Closure Costs" sheetId="71" r:id="rId3"/>
    <sheet name="Quantities Worksheet" sheetId="68" r:id="rId4"/>
    <sheet name="Activity Rates Worksheet" sheetId="70" r:id="rId5"/>
    <sheet name="Unit Rates Worksheet" sheetId="74" r:id="rId6"/>
    <sheet name="SYS_ Change Log" sheetId="55" state="hidden" r:id="rId7"/>
    <sheet name="SYS_ Gen" sheetId="47" state="hidden" r:id="rId8"/>
  </sheets>
  <definedNames>
    <definedName name="_ftnref1" localSheetId="2">'Closure Costs'!$D$3</definedName>
    <definedName name="allseasonroad">'SYS_ Gen'!$F$9</definedName>
    <definedName name="iceroad">'SYS_ Gen'!$F$14</definedName>
    <definedName name="inflation">'SYS_ Gen'!$F$20</definedName>
    <definedName name="otterload">'Unit Rates Worksheet'!$L$19</definedName>
    <definedName name="otterspeed">'Unit Rates Worksheet'!$K$19</definedName>
    <definedName name="_xlnm.Print_Area" localSheetId="2">'Closure Costs'!$A$1:$K$87</definedName>
    <definedName name="_xlnm.Print_Area" localSheetId="3">'Quantities Worksheet'!$A$1:$R$87</definedName>
    <definedName name="_xlnm.Print_Titles" localSheetId="4">'Activity Rates Worksheet'!$5:$5</definedName>
    <definedName name="_xlnm.Print_Titles" localSheetId="2">'Closure Costs'!$5:$5</definedName>
    <definedName name="_xlnm.Print_Titles" localSheetId="0">'Costing Questions'!$7:$7</definedName>
    <definedName name="_xlnm.Print_Titles" localSheetId="1">'Project-Specific Costs'!$6:$6</definedName>
    <definedName name="_xlnm.Print_Titles" localSheetId="3">'Quantities Worksheet'!$5:$5</definedName>
    <definedName name="_xlnm.Print_Titles" localSheetId="5">'Unit Rates Worksheet'!$5:$5</definedName>
    <definedName name="tractorload">'Unit Rates Worksheet'!$L$18</definedName>
    <definedName name="tractorspeed">'Unit Rates Worksheet'!$K$18</definedName>
    <definedName name="truckload">'Unit Rates Worksheet'!$L$20</definedName>
    <definedName name="truckspeed">'Unit Rates Worksheet'!$K$20</definedName>
    <definedName name="winterroad">'SYS_ Gen'!$F$10</definedName>
    <definedName name="wintertrail">'SYS_ Gen'!$F$13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5" i="74" l="1"/>
  <c r="J18" i="68"/>
  <c r="I49" i="73"/>
  <c r="I54" i="73"/>
  <c r="I59" i="73"/>
  <c r="B4" i="55"/>
  <c r="N10" i="74"/>
  <c r="N9" i="74"/>
  <c r="F20" i="47"/>
  <c r="N34" i="74" s="1"/>
  <c r="N36" i="74"/>
  <c r="N28" i="74"/>
  <c r="N27" i="74"/>
  <c r="N26" i="74"/>
  <c r="N15" i="74"/>
  <c r="N14" i="74"/>
  <c r="N13" i="74"/>
  <c r="Q59" i="70"/>
  <c r="J30" i="68"/>
  <c r="J15" i="68"/>
  <c r="J20" i="68"/>
  <c r="M48" i="68"/>
  <c r="J73" i="68"/>
  <c r="J71" i="68"/>
  <c r="J69" i="68"/>
  <c r="J67" i="68"/>
  <c r="J60" i="68"/>
  <c r="J59" i="68"/>
  <c r="J56" i="68"/>
  <c r="J43" i="68"/>
  <c r="J42" i="68"/>
  <c r="J39" i="68"/>
  <c r="J38" i="68"/>
  <c r="K31" i="68"/>
  <c r="J31" i="68"/>
  <c r="J27" i="68"/>
  <c r="J24" i="68"/>
  <c r="K20" i="68"/>
  <c r="J17" i="68"/>
  <c r="K15" i="68"/>
  <c r="J9" i="68"/>
  <c r="J8" i="68"/>
  <c r="K61" i="70"/>
  <c r="J61" i="70"/>
  <c r="J60" i="70"/>
  <c r="I56" i="70"/>
  <c r="J48" i="70"/>
  <c r="J36" i="70"/>
  <c r="J56" i="70"/>
  <c r="K56" i="70" s="1"/>
  <c r="K20" i="74"/>
  <c r="K18" i="74"/>
  <c r="K19" i="74"/>
  <c r="S25" i="74"/>
  <c r="N30" i="70" s="1"/>
  <c r="S24" i="74"/>
  <c r="N29" i="70" s="1"/>
  <c r="S23" i="74"/>
  <c r="N20" i="70" s="1"/>
  <c r="N25" i="74"/>
  <c r="N24" i="74"/>
  <c r="N23" i="74"/>
  <c r="B1" i="67"/>
  <c r="N18" i="74" l="1"/>
  <c r="N30" i="74"/>
  <c r="N31" i="74"/>
  <c r="N32" i="74"/>
  <c r="N21" i="74"/>
  <c r="N33" i="74"/>
  <c r="N19" i="74"/>
  <c r="N8" i="74"/>
  <c r="S8" i="74" s="1"/>
  <c r="N20" i="74"/>
  <c r="N22" i="74"/>
  <c r="B20" i="47"/>
  <c r="B19" i="47"/>
  <c r="B18" i="47"/>
  <c r="B17" i="47"/>
  <c r="B16" i="47"/>
  <c r="B15" i="47"/>
  <c r="B14" i="47"/>
  <c r="B13" i="47"/>
  <c r="B12" i="47"/>
  <c r="B11" i="47"/>
  <c r="B10" i="47"/>
  <c r="B9" i="47"/>
  <c r="B8" i="47"/>
  <c r="B7" i="47"/>
  <c r="B6" i="47"/>
  <c r="B5" i="47"/>
  <c r="I36" i="70"/>
  <c r="I5" i="67"/>
  <c r="I53" i="70"/>
  <c r="I52" i="70"/>
  <c r="I51" i="70"/>
  <c r="I50" i="70"/>
  <c r="I49" i="70"/>
  <c r="I48" i="70"/>
  <c r="S20" i="74"/>
  <c r="L20" i="74"/>
  <c r="I21" i="68"/>
  <c r="I20" i="68"/>
  <c r="I15" i="68"/>
  <c r="L15" i="68"/>
  <c r="K48" i="70"/>
  <c r="I43" i="70"/>
  <c r="I45" i="70"/>
  <c r="I44" i="70"/>
  <c r="I63" i="70"/>
  <c r="I62" i="70"/>
  <c r="I61" i="70"/>
  <c r="I60" i="70"/>
  <c r="I73" i="68"/>
  <c r="I71" i="68"/>
  <c r="I69" i="68"/>
  <c r="I63" i="68"/>
  <c r="I62" i="68"/>
  <c r="I61" i="68"/>
  <c r="I67" i="68"/>
  <c r="K43" i="68"/>
  <c r="I43" i="68"/>
  <c r="I60" i="68"/>
  <c r="K60" i="68"/>
  <c r="I59" i="68"/>
  <c r="I56" i="68"/>
  <c r="I52" i="68"/>
  <c r="I49" i="68"/>
  <c r="I46" i="68"/>
  <c r="I45" i="68"/>
  <c r="I44" i="68"/>
  <c r="P42" i="68"/>
  <c r="I42" i="68"/>
  <c r="I39" i="68"/>
  <c r="I38" i="68"/>
  <c r="P38" i="68"/>
  <c r="I33" i="68"/>
  <c r="I32" i="68"/>
  <c r="I29" i="68"/>
  <c r="I31" i="68"/>
  <c r="L30" i="68"/>
  <c r="I30" i="68"/>
  <c r="I27" i="68"/>
  <c r="I24" i="68"/>
  <c r="I18" i="68"/>
  <c r="I17" i="68"/>
  <c r="I9" i="68"/>
  <c r="I12" i="68" s="1"/>
  <c r="I8" i="68"/>
  <c r="B4" i="47"/>
  <c r="I12" i="73"/>
  <c r="N61" i="70" s="1"/>
  <c r="S41" i="74"/>
  <c r="L54" i="68" s="1"/>
  <c r="P54" i="68" s="1"/>
  <c r="F56" i="71" s="1"/>
  <c r="S40" i="74"/>
  <c r="L81" i="68" s="1"/>
  <c r="P81" i="68" s="1"/>
  <c r="P79" i="68"/>
  <c r="P77" i="68"/>
  <c r="P75" i="68"/>
  <c r="P60" i="70"/>
  <c r="N12" i="70"/>
  <c r="L53" i="68"/>
  <c r="D57" i="73"/>
  <c r="N38" i="74"/>
  <c r="N37" i="74"/>
  <c r="D52" i="73"/>
  <c r="D47" i="73"/>
  <c r="D21" i="73"/>
  <c r="D16" i="73"/>
  <c r="D15" i="73"/>
  <c r="S28" i="74"/>
  <c r="N33" i="70" s="1"/>
  <c r="S26" i="74"/>
  <c r="S22" i="74"/>
  <c r="N57" i="70" s="1"/>
  <c r="Q57" i="70" s="1"/>
  <c r="S21" i="74"/>
  <c r="N36" i="70" l="1"/>
  <c r="M48" i="70" s="1"/>
  <c r="L33" i="68"/>
  <c r="K36" i="70"/>
  <c r="K49" i="68"/>
  <c r="M53" i="68" s="1"/>
  <c r="L20" i="68"/>
  <c r="P43" i="68"/>
  <c r="L64" i="68"/>
  <c r="P64" i="68" s="1"/>
  <c r="D34" i="73"/>
  <c r="L46" i="68"/>
  <c r="K62" i="68"/>
  <c r="K63" i="68"/>
  <c r="I10" i="68"/>
  <c r="I11" i="68"/>
  <c r="P60" i="68"/>
  <c r="N31" i="70"/>
  <c r="N21" i="70"/>
  <c r="M30" i="68" l="1"/>
  <c r="P30" i="68" s="1"/>
  <c r="M50" i="68"/>
  <c r="L57" i="68"/>
  <c r="S27" i="74"/>
  <c r="N32" i="70" s="1"/>
  <c r="L19" i="74"/>
  <c r="I19" i="74"/>
  <c r="S19" i="74" s="1"/>
  <c r="I18" i="74"/>
  <c r="S18" i="74" s="1"/>
  <c r="L61" i="70" s="1"/>
  <c r="I15" i="74"/>
  <c r="S15" i="74" s="1"/>
  <c r="I14" i="74"/>
  <c r="S14" i="74" s="1"/>
  <c r="I13" i="74"/>
  <c r="S13" i="74" s="1"/>
  <c r="S10" i="74"/>
  <c r="L36" i="70" s="1"/>
  <c r="S9" i="74"/>
  <c r="M36" i="70" l="1"/>
  <c r="Q36" i="70" s="1"/>
  <c r="M61" i="70"/>
  <c r="L48" i="70" s="1"/>
  <c r="Q48" i="70" s="1"/>
  <c r="N16" i="74"/>
  <c r="S16" i="74" s="1"/>
  <c r="N11" i="74"/>
  <c r="S11" i="74" s="1"/>
  <c r="M25" i="70" s="1"/>
  <c r="Q25" i="70" s="1"/>
  <c r="Q61" i="70" l="1"/>
  <c r="I18" i="73"/>
  <c r="P31" i="74" l="1"/>
  <c r="S31" i="74" s="1"/>
  <c r="M60" i="70" s="1"/>
  <c r="P30" i="74"/>
  <c r="S30" i="74" s="1"/>
  <c r="L60" i="70" s="1"/>
  <c r="Q60" i="70" s="1"/>
  <c r="J87" i="71"/>
  <c r="K86" i="71" s="1"/>
  <c r="N43" i="70" l="1"/>
  <c r="Q43" i="70" s="1"/>
  <c r="P43" i="70"/>
  <c r="A1" i="74"/>
  <c r="P59" i="68" l="1"/>
  <c r="I77" i="73" l="1"/>
  <c r="K83" i="68" s="1"/>
  <c r="P83" i="70"/>
  <c r="F83" i="70"/>
  <c r="E83" i="70"/>
  <c r="D82" i="70"/>
  <c r="C82" i="70"/>
  <c r="G85" i="71"/>
  <c r="D85" i="71"/>
  <c r="E85" i="71"/>
  <c r="C84" i="71"/>
  <c r="P34" i="74"/>
  <c r="S34" i="74" s="1"/>
  <c r="N67" i="70" s="1"/>
  <c r="P35" i="74"/>
  <c r="S35" i="74" s="1"/>
  <c r="N69" i="70" s="1"/>
  <c r="P36" i="74"/>
  <c r="S36" i="74" s="1"/>
  <c r="N71" i="70" s="1"/>
  <c r="P38" i="74" l="1"/>
  <c r="S38" i="74" s="1"/>
  <c r="N83" i="70" s="1"/>
  <c r="Q83" i="70" s="1"/>
  <c r="H85" i="71" s="1"/>
  <c r="P83" i="68"/>
  <c r="F85" i="71" l="1"/>
  <c r="L44" i="68"/>
  <c r="D13" i="68"/>
  <c r="D22" i="68" l="1"/>
  <c r="A1" i="55" l="1"/>
  <c r="A1" i="47"/>
  <c r="A1" i="71"/>
  <c r="A1" i="68"/>
  <c r="A1" i="73"/>
  <c r="A1" i="70"/>
  <c r="E64" i="71" l="1"/>
  <c r="Q20" i="70" l="1"/>
  <c r="Q71" i="70" l="1"/>
  <c r="Q69" i="70"/>
  <c r="Q67" i="70"/>
  <c r="G77" i="71" l="1"/>
  <c r="G79" i="71"/>
  <c r="G81" i="71"/>
  <c r="G83" i="71"/>
  <c r="P46" i="68" l="1"/>
  <c r="P44" i="68"/>
  <c r="L50" i="68" l="1"/>
  <c r="G53" i="71" l="1"/>
  <c r="F51" i="70"/>
  <c r="E51" i="70"/>
  <c r="E53" i="71"/>
  <c r="D53" i="71"/>
  <c r="G57" i="70"/>
  <c r="G56" i="70"/>
  <c r="Q33" i="70"/>
  <c r="Q32" i="70"/>
  <c r="Q31" i="70"/>
  <c r="L27" i="70"/>
  <c r="M27" i="70" s="1"/>
  <c r="L15" i="70"/>
  <c r="M15" i="70" s="1"/>
  <c r="L18" i="70"/>
  <c r="M18" i="70" s="1"/>
  <c r="L17" i="70"/>
  <c r="M17" i="70" s="1"/>
  <c r="L12" i="70"/>
  <c r="M12" i="70" s="1"/>
  <c r="L11" i="70"/>
  <c r="M11" i="70" s="1"/>
  <c r="L10" i="70"/>
  <c r="M10" i="70" s="1"/>
  <c r="L9" i="70"/>
  <c r="M9" i="70" s="1"/>
  <c r="Q21" i="70" l="1"/>
  <c r="E10" i="70" l="1"/>
  <c r="F10" i="70"/>
  <c r="G10" i="70"/>
  <c r="P10" i="70"/>
  <c r="Q17" i="70" l="1"/>
  <c r="Q18" i="70"/>
  <c r="Q10" i="70"/>
  <c r="Q27" i="70"/>
  <c r="Q15" i="70"/>
  <c r="P8" i="68"/>
  <c r="M49" i="68" l="1"/>
  <c r="P49" i="68" s="1"/>
  <c r="P48" i="68"/>
  <c r="Q9" i="70"/>
  <c r="U24" i="68"/>
  <c r="L24" i="70" s="1"/>
  <c r="L51" i="70" l="1"/>
  <c r="M51" i="70" s="1"/>
  <c r="Q51" i="70" s="1"/>
  <c r="M24" i="70"/>
  <c r="Q24" i="70" s="1"/>
  <c r="P39" i="68"/>
  <c r="P73" i="68"/>
  <c r="C74" i="71"/>
  <c r="Q12" i="70" l="1"/>
  <c r="P12" i="70"/>
  <c r="N11" i="70"/>
  <c r="Q11" i="70" s="1"/>
  <c r="G12" i="70"/>
  <c r="F12" i="70"/>
  <c r="E12" i="70"/>
  <c r="L31" i="68"/>
  <c r="M29" i="68"/>
  <c r="G13" i="71"/>
  <c r="E13" i="71"/>
  <c r="D13" i="71"/>
  <c r="P31" i="68" l="1"/>
  <c r="L29" i="68" l="1"/>
  <c r="P73" i="70"/>
  <c r="D9" i="73"/>
  <c r="G36" i="70"/>
  <c r="K36" i="68"/>
  <c r="P36" i="68" s="1"/>
  <c r="H13" i="71"/>
  <c r="P15" i="68" l="1"/>
  <c r="P67" i="68"/>
  <c r="P69" i="68"/>
  <c r="P71" i="68"/>
  <c r="P20" i="68" l="1"/>
  <c r="L61" i="68" s="1"/>
  <c r="E83" i="71"/>
  <c r="D83" i="71"/>
  <c r="C82" i="71"/>
  <c r="E81" i="71"/>
  <c r="D81" i="71"/>
  <c r="C80" i="71"/>
  <c r="E79" i="71"/>
  <c r="D79" i="71"/>
  <c r="C78" i="71"/>
  <c r="E77" i="71"/>
  <c r="D77" i="71"/>
  <c r="C76" i="71"/>
  <c r="E75" i="71"/>
  <c r="D75" i="71"/>
  <c r="E73" i="71"/>
  <c r="D73" i="71"/>
  <c r="D72" i="71"/>
  <c r="C72" i="71"/>
  <c r="E71" i="71"/>
  <c r="D71" i="71"/>
  <c r="D70" i="71"/>
  <c r="C70" i="71"/>
  <c r="E69" i="71"/>
  <c r="D69" i="71"/>
  <c r="D68" i="71"/>
  <c r="C68" i="71"/>
  <c r="C67" i="71"/>
  <c r="E66" i="71"/>
  <c r="E63" i="71"/>
  <c r="E62" i="71"/>
  <c r="E61" i="71"/>
  <c r="D60" i="71"/>
  <c r="C60" i="71"/>
  <c r="E59" i="71"/>
  <c r="E58" i="71"/>
  <c r="D57" i="71"/>
  <c r="C57" i="71"/>
  <c r="E56" i="71"/>
  <c r="E55" i="71"/>
  <c r="E54" i="71"/>
  <c r="E52" i="71"/>
  <c r="E51" i="71"/>
  <c r="E50" i="71"/>
  <c r="D50" i="71"/>
  <c r="D49" i="71"/>
  <c r="C49" i="71"/>
  <c r="E48" i="71"/>
  <c r="D48" i="71"/>
  <c r="E65" i="71"/>
  <c r="E47" i="71"/>
  <c r="D47" i="71"/>
  <c r="E46" i="71"/>
  <c r="D46" i="71"/>
  <c r="E45" i="71"/>
  <c r="D45" i="71"/>
  <c r="E44" i="71"/>
  <c r="D44" i="71"/>
  <c r="D43" i="71"/>
  <c r="C43" i="71"/>
  <c r="C42" i="71"/>
  <c r="E40" i="71"/>
  <c r="D40" i="71"/>
  <c r="E39" i="71"/>
  <c r="D39" i="71"/>
  <c r="D38" i="71"/>
  <c r="C38" i="71"/>
  <c r="E37" i="71"/>
  <c r="D37" i="71"/>
  <c r="D36" i="71"/>
  <c r="C36" i="71"/>
  <c r="C35" i="71"/>
  <c r="E34" i="71"/>
  <c r="D34" i="71"/>
  <c r="E33" i="71"/>
  <c r="D33" i="71"/>
  <c r="E32" i="71"/>
  <c r="D32" i="71"/>
  <c r="E31" i="71"/>
  <c r="D31" i="71"/>
  <c r="E30" i="71"/>
  <c r="D30" i="71"/>
  <c r="D29" i="71"/>
  <c r="C29" i="71"/>
  <c r="E28" i="71"/>
  <c r="D28" i="71"/>
  <c r="D27" i="71"/>
  <c r="C27" i="71"/>
  <c r="E26" i="71"/>
  <c r="D26" i="71"/>
  <c r="E25" i="71"/>
  <c r="D25" i="71"/>
  <c r="D24" i="71"/>
  <c r="C24" i="71"/>
  <c r="C23" i="71"/>
  <c r="B23" i="71"/>
  <c r="E22" i="71"/>
  <c r="D22" i="71"/>
  <c r="E21" i="71"/>
  <c r="D21" i="71"/>
  <c r="D20" i="71"/>
  <c r="C20" i="71"/>
  <c r="E19" i="71"/>
  <c r="D19" i="71"/>
  <c r="E18" i="71"/>
  <c r="D18" i="71"/>
  <c r="D17" i="71"/>
  <c r="C17" i="71"/>
  <c r="E16" i="71"/>
  <c r="D16" i="71"/>
  <c r="D15" i="71"/>
  <c r="C15" i="71"/>
  <c r="C14" i="71"/>
  <c r="B14" i="71"/>
  <c r="D8" i="71"/>
  <c r="C8" i="71"/>
  <c r="C7" i="71"/>
  <c r="B7" i="71"/>
  <c r="E12" i="71"/>
  <c r="D12" i="71"/>
  <c r="E11" i="71"/>
  <c r="D11" i="71"/>
  <c r="E10" i="71"/>
  <c r="D10" i="71"/>
  <c r="D9" i="71"/>
  <c r="E9" i="71"/>
  <c r="E81" i="70"/>
  <c r="D80" i="70"/>
  <c r="C80" i="70"/>
  <c r="E79" i="70"/>
  <c r="D78" i="70"/>
  <c r="C78" i="70"/>
  <c r="E77" i="70"/>
  <c r="D76" i="70"/>
  <c r="C76" i="70"/>
  <c r="D74" i="70"/>
  <c r="C74" i="70"/>
  <c r="E75" i="70"/>
  <c r="E73" i="70"/>
  <c r="D72" i="70"/>
  <c r="C72" i="70"/>
  <c r="E71" i="70"/>
  <c r="E70" i="70"/>
  <c r="D70" i="70"/>
  <c r="E69" i="70"/>
  <c r="E68" i="70"/>
  <c r="D68" i="70"/>
  <c r="E67" i="70"/>
  <c r="E66" i="70"/>
  <c r="D66" i="70"/>
  <c r="D65" i="70"/>
  <c r="C65" i="70"/>
  <c r="E58" i="70"/>
  <c r="D58" i="70"/>
  <c r="E55" i="70"/>
  <c r="D55" i="70"/>
  <c r="E48" i="70"/>
  <c r="E47" i="70"/>
  <c r="D47" i="70"/>
  <c r="E46" i="70"/>
  <c r="E45" i="70"/>
  <c r="E44" i="70"/>
  <c r="E43" i="70"/>
  <c r="E42" i="70"/>
  <c r="E41" i="70"/>
  <c r="D41" i="70"/>
  <c r="D40" i="70"/>
  <c r="C40" i="70"/>
  <c r="E39" i="70"/>
  <c r="E38" i="70"/>
  <c r="E37" i="70"/>
  <c r="D37" i="70"/>
  <c r="E36" i="70"/>
  <c r="E35" i="70"/>
  <c r="D35" i="70"/>
  <c r="D34" i="70"/>
  <c r="C34" i="70"/>
  <c r="E33" i="70"/>
  <c r="E32" i="70"/>
  <c r="E31" i="70"/>
  <c r="E30" i="70"/>
  <c r="E29" i="70"/>
  <c r="E28" i="70"/>
  <c r="D28" i="70"/>
  <c r="E27" i="70"/>
  <c r="E26" i="70"/>
  <c r="D26" i="70"/>
  <c r="E25" i="70"/>
  <c r="E24" i="70"/>
  <c r="E23" i="70"/>
  <c r="D23" i="70"/>
  <c r="D22" i="70"/>
  <c r="C22" i="70"/>
  <c r="E21" i="70"/>
  <c r="E20" i="70"/>
  <c r="E19" i="70"/>
  <c r="D19" i="70"/>
  <c r="E18" i="70"/>
  <c r="E17" i="70"/>
  <c r="E16" i="70"/>
  <c r="D16" i="70"/>
  <c r="E15" i="70"/>
  <c r="E14" i="70"/>
  <c r="D14" i="70"/>
  <c r="D13" i="70"/>
  <c r="C13" i="70"/>
  <c r="E11" i="70"/>
  <c r="E9" i="70"/>
  <c r="E8" i="70"/>
  <c r="E7" i="70"/>
  <c r="D7" i="70"/>
  <c r="D6" i="70"/>
  <c r="C6" i="70"/>
  <c r="G81" i="70"/>
  <c r="F81" i="70"/>
  <c r="G79" i="70"/>
  <c r="F79" i="70"/>
  <c r="G77" i="70"/>
  <c r="F77" i="70"/>
  <c r="G75" i="70"/>
  <c r="F75" i="70"/>
  <c r="F73" i="70"/>
  <c r="G71" i="70"/>
  <c r="F71" i="70"/>
  <c r="G69" i="70"/>
  <c r="F69" i="70"/>
  <c r="G67" i="70"/>
  <c r="F67" i="70"/>
  <c r="G64" i="70"/>
  <c r="F64" i="70"/>
  <c r="G61" i="70"/>
  <c r="F61" i="70"/>
  <c r="F60" i="70"/>
  <c r="G59" i="70"/>
  <c r="F59" i="70"/>
  <c r="F57" i="70"/>
  <c r="F56" i="70"/>
  <c r="G54" i="70"/>
  <c r="F54" i="70"/>
  <c r="G53" i="70"/>
  <c r="F53" i="70"/>
  <c r="F52" i="70"/>
  <c r="G50" i="70"/>
  <c r="F50" i="70"/>
  <c r="G49" i="70"/>
  <c r="F49" i="70"/>
  <c r="G48" i="70"/>
  <c r="F48" i="70"/>
  <c r="G46" i="70"/>
  <c r="F46" i="70"/>
  <c r="F63" i="70"/>
  <c r="F62" i="70"/>
  <c r="F45" i="70"/>
  <c r="G45" i="70"/>
  <c r="G44" i="70"/>
  <c r="F44" i="70"/>
  <c r="F43" i="70"/>
  <c r="G42" i="70"/>
  <c r="F42" i="70"/>
  <c r="G39" i="70"/>
  <c r="F39" i="70"/>
  <c r="G38" i="70"/>
  <c r="F38" i="70"/>
  <c r="F36" i="70"/>
  <c r="G33" i="70"/>
  <c r="F33" i="70"/>
  <c r="G32" i="70"/>
  <c r="F32" i="70"/>
  <c r="G31" i="70"/>
  <c r="F31" i="70"/>
  <c r="G30" i="70"/>
  <c r="F30" i="70"/>
  <c r="G29" i="70"/>
  <c r="F29" i="70"/>
  <c r="G27" i="70"/>
  <c r="F27" i="70"/>
  <c r="G25" i="70"/>
  <c r="F25" i="70"/>
  <c r="G24" i="70"/>
  <c r="F24" i="70"/>
  <c r="G21" i="70"/>
  <c r="F21" i="70"/>
  <c r="G20" i="70"/>
  <c r="F20" i="70"/>
  <c r="G18" i="70"/>
  <c r="F18" i="70"/>
  <c r="G17" i="70"/>
  <c r="F17" i="70"/>
  <c r="G15" i="70"/>
  <c r="F15" i="70"/>
  <c r="G11" i="70"/>
  <c r="F11" i="70"/>
  <c r="G9" i="70"/>
  <c r="F9" i="70"/>
  <c r="G8" i="70"/>
  <c r="F8" i="70"/>
  <c r="D22" i="73" l="1"/>
  <c r="I31" i="73" s="1"/>
  <c r="D62" i="73"/>
  <c r="I71" i="73" s="1"/>
  <c r="D35" i="73"/>
  <c r="I44" i="73" s="1"/>
  <c r="P33" i="70"/>
  <c r="P37" i="74" l="1"/>
  <c r="S37" i="74" s="1"/>
  <c r="N73" i="70" s="1"/>
  <c r="P33" i="74"/>
  <c r="S33" i="74" s="1"/>
  <c r="N39" i="70" s="1"/>
  <c r="P32" i="74"/>
  <c r="S32" i="74" s="1"/>
  <c r="N38" i="70" s="1"/>
  <c r="Q29" i="70"/>
  <c r="Q38" i="70" l="1"/>
  <c r="Q73" i="70"/>
  <c r="H75" i="71" s="1"/>
  <c r="Q39" i="70"/>
  <c r="Q30" i="70"/>
  <c r="P81" i="70"/>
  <c r="P79" i="70"/>
  <c r="P77" i="70"/>
  <c r="P75" i="70"/>
  <c r="P71" i="70"/>
  <c r="P69" i="70"/>
  <c r="P67" i="70"/>
  <c r="P64" i="70"/>
  <c r="P61" i="70"/>
  <c r="P59" i="70"/>
  <c r="P57" i="70"/>
  <c r="P56" i="70"/>
  <c r="P54" i="70"/>
  <c r="P53" i="70"/>
  <c r="P52" i="70"/>
  <c r="P50" i="70"/>
  <c r="P49" i="70"/>
  <c r="P48" i="70"/>
  <c r="P46" i="70"/>
  <c r="P63" i="70"/>
  <c r="P62" i="70"/>
  <c r="P45" i="70"/>
  <c r="P44" i="70"/>
  <c r="P42" i="70"/>
  <c r="P39" i="70"/>
  <c r="P38" i="70"/>
  <c r="P36" i="70"/>
  <c r="P32" i="70"/>
  <c r="P31" i="70"/>
  <c r="P30" i="70"/>
  <c r="P29" i="70"/>
  <c r="P27" i="70"/>
  <c r="P25" i="70"/>
  <c r="P24" i="70"/>
  <c r="P21" i="70"/>
  <c r="P20" i="70"/>
  <c r="P18" i="70"/>
  <c r="P17" i="70"/>
  <c r="P15" i="70"/>
  <c r="P11" i="70"/>
  <c r="P9" i="70"/>
  <c r="P8" i="70"/>
  <c r="H11" i="71" l="1"/>
  <c r="H10" i="71"/>
  <c r="G9" i="71"/>
  <c r="G75" i="71"/>
  <c r="G73" i="71"/>
  <c r="G71" i="71"/>
  <c r="G69" i="71"/>
  <c r="G63" i="71"/>
  <c r="G62" i="71"/>
  <c r="G61" i="71"/>
  <c r="G59" i="71"/>
  <c r="G58" i="71"/>
  <c r="G55" i="71"/>
  <c r="G54" i="71"/>
  <c r="G52" i="71"/>
  <c r="G51" i="71"/>
  <c r="G50" i="71"/>
  <c r="G65" i="71"/>
  <c r="G64" i="71"/>
  <c r="G47" i="71"/>
  <c r="G46" i="71"/>
  <c r="G45" i="71"/>
  <c r="G44" i="71"/>
  <c r="G40" i="71"/>
  <c r="G39" i="71"/>
  <c r="G37" i="71"/>
  <c r="G34" i="71"/>
  <c r="G33" i="71"/>
  <c r="G32" i="71"/>
  <c r="G31" i="71"/>
  <c r="G30" i="71"/>
  <c r="G28" i="71"/>
  <c r="G26" i="71"/>
  <c r="G25" i="71"/>
  <c r="G22" i="71"/>
  <c r="G21" i="71"/>
  <c r="G19" i="71"/>
  <c r="G18" i="71"/>
  <c r="G16" i="71"/>
  <c r="G12" i="71"/>
  <c r="G11" i="71"/>
  <c r="G10" i="71"/>
  <c r="L62" i="68"/>
  <c r="P62" i="68" s="1"/>
  <c r="H73" i="71"/>
  <c r="H83" i="71"/>
  <c r="H81" i="71"/>
  <c r="H79" i="71"/>
  <c r="H77" i="71"/>
  <c r="H71" i="71"/>
  <c r="H69" i="71"/>
  <c r="H66" i="71"/>
  <c r="H61" i="71"/>
  <c r="H59" i="71"/>
  <c r="H56" i="71"/>
  <c r="H48" i="71"/>
  <c r="H44" i="71"/>
  <c r="H37" i="71"/>
  <c r="H34" i="71"/>
  <c r="H33" i="71"/>
  <c r="H32" i="71"/>
  <c r="H31" i="71"/>
  <c r="H30" i="71"/>
  <c r="H22" i="71"/>
  <c r="H21" i="71"/>
  <c r="H16" i="71"/>
  <c r="H40" i="71"/>
  <c r="F75" i="71"/>
  <c r="H12" i="71"/>
  <c r="H9" i="71"/>
  <c r="H45" i="71"/>
  <c r="F37" i="71"/>
  <c r="H63" i="71" l="1"/>
  <c r="N44" i="70"/>
  <c r="N63" i="70"/>
  <c r="Q63" i="70" s="1"/>
  <c r="N62" i="70"/>
  <c r="Q62" i="70" s="1"/>
  <c r="H64" i="71" s="1"/>
  <c r="N45" i="70"/>
  <c r="Q45" i="70" s="1"/>
  <c r="L52" i="68"/>
  <c r="H28" i="71"/>
  <c r="H26" i="71"/>
  <c r="H25" i="71"/>
  <c r="H19" i="71"/>
  <c r="H18" i="71"/>
  <c r="F71" i="71"/>
  <c r="J71" i="71" s="1"/>
  <c r="J37" i="71"/>
  <c r="J75" i="71"/>
  <c r="K74" i="71" s="1"/>
  <c r="H62" i="71"/>
  <c r="F50" i="71"/>
  <c r="H47" i="71" l="1"/>
  <c r="Q44" i="70"/>
  <c r="H46" i="71" s="1"/>
  <c r="H65" i="71"/>
  <c r="D51" i="71" l="1"/>
  <c r="E49" i="70"/>
  <c r="F61" i="71"/>
  <c r="J61" i="71" s="1"/>
  <c r="D52" i="71" l="1"/>
  <c r="E50" i="70"/>
  <c r="F66" i="71"/>
  <c r="E52" i="70" l="1"/>
  <c r="D54" i="71"/>
  <c r="F9" i="71"/>
  <c r="J9" i="71" s="1"/>
  <c r="D55" i="71" l="1"/>
  <c r="E53" i="70"/>
  <c r="F44" i="71"/>
  <c r="J44" i="71" s="1"/>
  <c r="M52" i="68" l="1"/>
  <c r="P52" i="68" s="1"/>
  <c r="F45" i="71"/>
  <c r="J45" i="71" s="1"/>
  <c r="D56" i="71"/>
  <c r="E54" i="70"/>
  <c r="F62" i="71"/>
  <c r="J62" i="71" s="1"/>
  <c r="F51" i="71"/>
  <c r="F54" i="71" l="1"/>
  <c r="F46" i="71"/>
  <c r="J46" i="71" s="1"/>
  <c r="E56" i="70"/>
  <c r="D58" i="71"/>
  <c r="E57" i="70" l="1"/>
  <c r="D59" i="71"/>
  <c r="F64" i="71" l="1"/>
  <c r="J64" i="71" s="1"/>
  <c r="D61" i="71"/>
  <c r="E59" i="70"/>
  <c r="F39" i="71"/>
  <c r="F40" i="71"/>
  <c r="J40" i="71" s="1"/>
  <c r="F73" i="71"/>
  <c r="J73" i="71" s="1"/>
  <c r="F79" i="71"/>
  <c r="F77" i="71"/>
  <c r="F69" i="71"/>
  <c r="J69" i="71" s="1"/>
  <c r="F81" i="71"/>
  <c r="P17" i="68"/>
  <c r="P9" i="68"/>
  <c r="F10" i="71" s="1"/>
  <c r="V9" i="68" l="1"/>
  <c r="M10" i="68"/>
  <c r="P10" i="68" s="1"/>
  <c r="V10" i="68" s="1"/>
  <c r="F16" i="71"/>
  <c r="J16" i="71" s="1"/>
  <c r="V15" i="68"/>
  <c r="F18" i="71"/>
  <c r="J18" i="71" s="1"/>
  <c r="V17" i="68"/>
  <c r="K67" i="71"/>
  <c r="D64" i="71"/>
  <c r="E62" i="70"/>
  <c r="F48" i="71"/>
  <c r="M27" i="68"/>
  <c r="N27" i="68" s="1"/>
  <c r="P18" i="68"/>
  <c r="F32" i="71"/>
  <c r="J32" i="71" s="1"/>
  <c r="D62" i="71"/>
  <c r="E60" i="70"/>
  <c r="J10" i="71"/>
  <c r="P21" i="68"/>
  <c r="F22" i="71" s="1"/>
  <c r="J22" i="71" s="1"/>
  <c r="F83" i="71"/>
  <c r="N45" i="68" l="1"/>
  <c r="L63" i="68" s="1"/>
  <c r="F11" i="71"/>
  <c r="J11" i="71" s="1"/>
  <c r="F19" i="71"/>
  <c r="J19" i="71" s="1"/>
  <c r="V18" i="68"/>
  <c r="L11" i="68"/>
  <c r="L12" i="68"/>
  <c r="P12" i="68" s="1"/>
  <c r="D65" i="71"/>
  <c r="E63" i="70"/>
  <c r="P33" i="68"/>
  <c r="P24" i="68"/>
  <c r="D63" i="71"/>
  <c r="E61" i="70"/>
  <c r="F21" i="71"/>
  <c r="J21" i="71" s="1"/>
  <c r="P11" i="68" l="1"/>
  <c r="V11" i="68" s="1"/>
  <c r="P27" i="68"/>
  <c r="P45" i="68"/>
  <c r="F47" i="71" s="1"/>
  <c r="J47" i="71" s="1"/>
  <c r="P63" i="68"/>
  <c r="F65" i="71" s="1"/>
  <c r="J65" i="71" s="1"/>
  <c r="V12" i="68"/>
  <c r="F13" i="71"/>
  <c r="J13" i="71" s="1"/>
  <c r="K25" i="68"/>
  <c r="P25" i="68" s="1"/>
  <c r="V24" i="68"/>
  <c r="F34" i="71"/>
  <c r="J34" i="71" s="1"/>
  <c r="K14" i="71"/>
  <c r="F25" i="71"/>
  <c r="J25" i="71" s="1"/>
  <c r="D66" i="71"/>
  <c r="E64" i="70"/>
  <c r="I48" i="71" l="1"/>
  <c r="L32" i="68"/>
  <c r="P32" i="68" s="1"/>
  <c r="N29" i="68"/>
  <c r="F12" i="71"/>
  <c r="J12" i="71" s="1"/>
  <c r="K7" i="71" s="1"/>
  <c r="F26" i="71"/>
  <c r="J26" i="71" s="1"/>
  <c r="N61" i="68"/>
  <c r="F31" i="71"/>
  <c r="J31" i="71" s="1"/>
  <c r="J48" i="71" l="1"/>
  <c r="K43" i="71" l="1"/>
  <c r="H39" i="71"/>
  <c r="J39" i="71" s="1"/>
  <c r="J85" i="71" l="1"/>
  <c r="K84" i="71" s="1"/>
  <c r="K35" i="71"/>
  <c r="F28" i="71" l="1"/>
  <c r="J28" i="71" s="1"/>
  <c r="V27" i="68" l="1"/>
  <c r="P29" i="68"/>
  <c r="M57" i="68" l="1"/>
  <c r="F33" i="71"/>
  <c r="J33" i="71" s="1"/>
  <c r="L51" i="68" l="1"/>
  <c r="K56" i="68"/>
  <c r="P57" i="68"/>
  <c r="F59" i="71" s="1"/>
  <c r="J59" i="71" s="1"/>
  <c r="L56" i="70"/>
  <c r="M56" i="70" s="1"/>
  <c r="M61" i="68"/>
  <c r="F30" i="71"/>
  <c r="J30" i="71" s="1"/>
  <c r="K53" i="68" l="1"/>
  <c r="P56" i="68"/>
  <c r="F58" i="71" s="1"/>
  <c r="Q56" i="70"/>
  <c r="H58" i="71" s="1"/>
  <c r="P61" i="68"/>
  <c r="F63" i="71" s="1"/>
  <c r="J63" i="71" s="1"/>
  <c r="I66" i="71" s="1"/>
  <c r="J66" i="71" s="1"/>
  <c r="K60" i="71" s="1"/>
  <c r="K50" i="68"/>
  <c r="P50" i="68" s="1"/>
  <c r="F52" i="71" s="1"/>
  <c r="K51" i="68"/>
  <c r="P51" i="68" s="1"/>
  <c r="K23" i="71"/>
  <c r="K6" i="71"/>
  <c r="J58" i="71" l="1"/>
  <c r="K57" i="71" s="1"/>
  <c r="P53" i="68"/>
  <c r="F55" i="71" s="1"/>
  <c r="F53" i="71"/>
  <c r="I79" i="71"/>
  <c r="J79" i="71" s="1"/>
  <c r="K78" i="71" s="1"/>
  <c r="I83" i="71"/>
  <c r="J83" i="71" s="1"/>
  <c r="K82" i="71" s="1"/>
  <c r="I81" i="71"/>
  <c r="J81" i="71" s="1"/>
  <c r="K80" i="71" s="1"/>
  <c r="I77" i="71"/>
  <c r="J77" i="71" s="1"/>
  <c r="K76" i="71" s="1"/>
  <c r="N49" i="70" l="1"/>
  <c r="Q49" i="70" s="1"/>
  <c r="H51" i="71" s="1"/>
  <c r="J51" i="71" s="1"/>
  <c r="N52" i="70"/>
  <c r="Q52" i="70" s="1"/>
  <c r="H54" i="71" s="1"/>
  <c r="J54" i="71" s="1"/>
  <c r="N50" i="70"/>
  <c r="Q50" i="70" s="1"/>
  <c r="H52" i="71" s="1"/>
  <c r="J52" i="71" s="1"/>
  <c r="N53" i="70"/>
  <c r="Q53" i="70" s="1"/>
  <c r="H55" i="71" s="1"/>
  <c r="J55" i="71" s="1"/>
  <c r="H50" i="71"/>
  <c r="J50" i="71" s="1"/>
  <c r="D10" i="73"/>
  <c r="H53" i="71"/>
  <c r="J53" i="71" s="1"/>
  <c r="I56" i="71" l="1"/>
  <c r="J56" i="71" s="1"/>
  <c r="K49" i="71" s="1"/>
  <c r="K41" i="71" l="1"/>
  <c r="E3" i="71"/>
  <c r="L4" i="73" s="1"/>
  <c r="K42" i="71"/>
  <c r="I4" i="6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Henry Wong</author>
  </authors>
  <commentList>
    <comment ref="N27" authorId="0" shapeId="0" xr:uid="{BF4D2120-87A6-401C-ACE6-33C5ECDDB229}">
      <text>
        <r>
          <rPr>
            <sz val="9"/>
            <color indexed="81"/>
            <rFont val="Tahoma"/>
            <family val="2"/>
          </rPr>
          <t>Vesoul in cubic yards
Voile product in barrels (42 gallons)
P = porosity, 0.4 for fine silt sand
SR = residual saturation, 0.15 for diesel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Henry Wong</author>
  </authors>
  <commentList>
    <comment ref="L5" authorId="0" shapeId="0" xr:uid="{62440F4E-4EEE-4D8B-8971-A7C93DEF3C6C}">
      <text>
        <r>
          <rPr>
            <sz val="9"/>
            <color indexed="81"/>
            <rFont val="Tahoma"/>
            <family val="2"/>
          </rPr>
          <t>e.g. Daily Work Production</t>
        </r>
      </text>
    </comment>
    <comment ref="M5" authorId="0" shapeId="0" xr:uid="{364E4CDE-D64A-4B4E-8FAF-D4B42C74F418}">
      <text>
        <r>
          <rPr>
            <sz val="9"/>
            <color indexed="81"/>
            <rFont val="Tahoma"/>
            <family val="2"/>
          </rPr>
          <t>e.g. Calculated unit cost</t>
        </r>
      </text>
    </comment>
    <comment ref="N5" authorId="0" shapeId="0" xr:uid="{5314696F-B8A7-4D17-A1A8-EB6E393B7314}">
      <text>
        <r>
          <rPr>
            <sz val="9"/>
            <color indexed="81"/>
            <rFont val="Tahoma"/>
            <family val="2"/>
          </rPr>
          <t>e.g. Reference Cost/ Rate</t>
        </r>
      </text>
    </comment>
    <comment ref="N9" authorId="0" shapeId="0" xr:uid="{82396A06-6A8D-407A-88B9-A080091EAD19}">
      <text>
        <r>
          <rPr>
            <sz val="9"/>
            <color indexed="81"/>
            <rFont val="Tahoma"/>
            <family val="2"/>
          </rPr>
          <t>Reclaim @ 2020 Dollar
→ for reference</t>
        </r>
      </text>
    </comment>
    <comment ref="N10" authorId="0" shapeId="0" xr:uid="{DD7722F8-6158-4B0C-B50A-D0DADD4B9F06}">
      <text>
        <r>
          <rPr>
            <sz val="9"/>
            <color indexed="81"/>
            <rFont val="Tahoma"/>
            <family val="2"/>
          </rPr>
          <t>Reclaim @ 2020 Dollar
→ for reference`</t>
        </r>
      </text>
    </comment>
    <comment ref="N11" authorId="0" shapeId="0" xr:uid="{334B1C24-2E7A-47AD-B246-463536DAEF00}">
      <text>
        <r>
          <rPr>
            <sz val="9"/>
            <color indexed="81"/>
            <rFont val="Tahoma"/>
            <family val="2"/>
          </rPr>
          <t>Application rate:
300kg/ha
Material cost:
$1.2/kg</t>
        </r>
      </text>
    </comment>
    <comment ref="N12" authorId="0" shapeId="0" xr:uid="{E54D8600-D4C0-45E0-917A-9E6E6DE13668}">
      <text>
        <r>
          <rPr>
            <sz val="9"/>
            <color indexed="81"/>
            <rFont val="Tahoma"/>
            <family val="2"/>
          </rPr>
          <t>Application rate:
25kg/ha
Material cost:
$15.45/kg</t>
        </r>
      </text>
    </comment>
    <comment ref="L36" authorId="0" shapeId="0" xr:uid="{97A8A632-F3DA-4725-B040-C12E86CC97B0}">
      <text>
        <r>
          <rPr>
            <sz val="9"/>
            <color indexed="81"/>
            <rFont val="Tahoma"/>
            <family val="2"/>
          </rPr>
          <t>Contractor Site Inspection:
→ 12 hrs for environmental scientist to inspection site
→ 12 hrs for labour/ wildlife monitor support</t>
        </r>
      </text>
    </comment>
    <comment ref="M36" authorId="0" shapeId="0" xr:uid="{B74165D4-7374-43AB-B06A-A7B408804BCA}">
      <text>
        <r>
          <rPr>
            <sz val="9"/>
            <color indexed="81"/>
            <rFont val="Tahoma"/>
            <family val="2"/>
          </rPr>
          <t>Air mob - cost per trip:
→ Travel distance, divided by plane travel speed = hours traveled one way
→ X2
→ Multiplied by hourly rate</t>
        </r>
      </text>
    </comment>
    <comment ref="N36" authorId="0" shapeId="0" xr:uid="{19265211-8281-4197-9ABF-677CEED95A8E}">
      <text>
        <r>
          <rPr>
            <sz val="9"/>
            <color indexed="81"/>
            <rFont val="Tahoma"/>
            <family val="2"/>
          </rPr>
          <t>All-season land access - cost per trip:
→ Travel distance, divided by truck travel speed = hours traveled one way
→ X2
→ Multiplied by truck day rate</t>
        </r>
      </text>
    </comment>
    <comment ref="L48" authorId="0" shapeId="0" xr:uid="{C8E36A21-79C1-411E-B22E-C75A378E0F8B}">
      <text>
        <r>
          <rPr>
            <sz val="9"/>
            <color indexed="81"/>
            <rFont val="Tahoma"/>
            <family val="2"/>
          </rPr>
          <t xml:space="preserve">Air mob - cost per kg:
→ Divided below per tonne rate by 1,000 </t>
        </r>
      </text>
    </comment>
    <comment ref="M48" authorId="0" shapeId="0" xr:uid="{FF70E644-CEB3-4DAA-A840-78ABF542F64D}">
      <text>
        <r>
          <rPr>
            <sz val="9"/>
            <color indexed="81"/>
            <rFont val="Tahoma"/>
            <family val="2"/>
          </rPr>
          <t>All-season land mob - cost per kg:
→ Divided above per trip cost by payload (based on 4 workers in truck)</t>
        </r>
      </text>
    </comment>
    <comment ref="L51" authorId="0" shapeId="0" xr:uid="{6D125815-9A71-4F55-97AC-1DD15732A41F}">
      <text>
        <r>
          <rPr>
            <sz val="9"/>
            <color indexed="81"/>
            <rFont val="Tahoma"/>
            <family val="2"/>
          </rPr>
          <t>6 person-crew + gear @ 150 kg * 110%</t>
        </r>
      </text>
    </comment>
    <comment ref="L61" authorId="0" shapeId="0" xr:uid="{001201E0-85A0-4C65-A549-6A9E2D8F9D8D}">
      <text>
        <r>
          <rPr>
            <sz val="9"/>
            <color indexed="81"/>
            <rFont val="Tahoma"/>
            <family val="2"/>
          </rPr>
          <t>Land mob - cost per tonne:
→ Travel distance, divided by ground travel speed = hours traveled one way
→ +1 hour loading/ unloading
→ X2
→ Multiplied by hourly rate
→ Divided by payload</t>
        </r>
      </text>
    </comment>
    <comment ref="M61" authorId="0" shapeId="0" xr:uid="{1BCBC798-6E48-4DEE-8DDC-C87CC2CBA45F}">
      <text>
        <r>
          <rPr>
            <sz val="9"/>
            <color indexed="81"/>
            <rFont val="Tahoma"/>
            <family val="2"/>
          </rPr>
          <t>Air mob - cost per tonne:
→ Travel distance, divided by plane travel speed = hours traveled one way
→ X2
→ Multiplied by hourly rate
→ Divided by payload</t>
        </r>
      </text>
    </comment>
    <comment ref="N61" authorId="0" shapeId="0" xr:uid="{91D3517C-38D6-48DB-A6E3-C500CB4F083A}">
      <text>
        <r>
          <rPr>
            <sz val="9"/>
            <color indexed="81"/>
            <rFont val="Tahoma"/>
            <family val="2"/>
          </rPr>
          <t>Project-Specific Cost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Henry Wong</author>
  </authors>
  <commentList>
    <comment ref="I13" authorId="0" shapeId="0" xr:uid="{266EFE96-C7FD-4A6C-8F5F-4835566CF0B5}">
      <text>
        <r>
          <rPr>
            <sz val="9"/>
            <color indexed="81"/>
            <rFont val="Tahoma"/>
            <family val="2"/>
          </rPr>
          <t>2019 Yukon 3rd Party Rental @ 2020 Dollars:
Whitehorse → $175 - $185/ hr</t>
        </r>
      </text>
    </comment>
    <comment ref="K13" authorId="0" shapeId="0" xr:uid="{36E84D9D-3E27-44A7-82AE-FABD4EB2A636}">
      <text>
        <r>
          <rPr>
            <sz val="9"/>
            <color indexed="81"/>
            <rFont val="Tahoma"/>
            <family val="2"/>
          </rPr>
          <t>Reclaim @ 2020 Dollars</t>
        </r>
      </text>
    </comment>
    <comment ref="L13" authorId="0" shapeId="0" xr:uid="{6B385913-C00F-40AE-9B44-A1DE7002BD3C}">
      <text>
        <r>
          <rPr>
            <sz val="9"/>
            <color indexed="81"/>
            <rFont val="Tahoma"/>
            <family val="2"/>
          </rPr>
          <t>2020 ARHCA</t>
        </r>
      </text>
    </comment>
    <comment ref="I14" authorId="0" shapeId="0" xr:uid="{50630EF2-CEAA-4C35-BC57-00DF8E1AFE70}">
      <text>
        <r>
          <rPr>
            <sz val="9"/>
            <color indexed="81"/>
            <rFont val="Tahoma"/>
            <family val="2"/>
          </rPr>
          <t>2019 Yukon 3rd Party Rental @ 2020 Dollars:
Whitehorse → $250 - $280/ hr</t>
        </r>
      </text>
    </comment>
    <comment ref="K14" authorId="0" shapeId="0" xr:uid="{5B55B434-B317-46CE-90A1-D9840F961E09}">
      <text>
        <r>
          <rPr>
            <sz val="9"/>
            <color indexed="81"/>
            <rFont val="Tahoma"/>
            <family val="2"/>
          </rPr>
          <t>Reclaim @ 2020 Dollars</t>
        </r>
      </text>
    </comment>
    <comment ref="L14" authorId="0" shapeId="0" xr:uid="{F8ABE7C0-9220-44D4-8326-3BF29E9751FE}">
      <text>
        <r>
          <rPr>
            <sz val="9"/>
            <color indexed="81"/>
            <rFont val="Tahoma"/>
            <family val="2"/>
          </rPr>
          <t>2020 ARHCA</t>
        </r>
      </text>
    </comment>
    <comment ref="I15" authorId="0" shapeId="0" xr:uid="{846F923A-1FAC-4660-85C5-D9325BF27F34}">
      <text>
        <r>
          <rPr>
            <sz val="9"/>
            <color indexed="81"/>
            <rFont val="Tahoma"/>
            <family val="2"/>
          </rPr>
          <t>2019 Yukon 3rd Party Rental @ 2020 Dollars:
Whitehorse → $180 - $225/ hr</t>
        </r>
      </text>
    </comment>
    <comment ref="K15" authorId="0" shapeId="0" xr:uid="{989BBF8D-46D4-4D0F-9553-8CA96D02ED92}">
      <text>
        <r>
          <rPr>
            <sz val="9"/>
            <color indexed="81"/>
            <rFont val="Tahoma"/>
            <family val="2"/>
          </rPr>
          <t>Reclaim @ 2020 Dollars</t>
        </r>
      </text>
    </comment>
    <comment ref="L15" authorId="0" shapeId="0" xr:uid="{5873ACF5-D3AF-4C6A-8D56-A92D1E95BD47}">
      <text>
        <r>
          <rPr>
            <sz val="9"/>
            <color indexed="81"/>
            <rFont val="Tahoma"/>
            <family val="2"/>
          </rPr>
          <t>2020 ARHCA</t>
        </r>
      </text>
    </comment>
    <comment ref="I18" authorId="0" shapeId="0" xr:uid="{5036E4C4-7263-4B9B-82F2-B86B1F621054}">
      <text>
        <r>
          <rPr>
            <sz val="9"/>
            <color indexed="81"/>
            <rFont val="Tahoma"/>
            <family val="2"/>
          </rPr>
          <t>2019 Yukon 3rd Party Rental @ 2020 Dollars:
Whitehorse → $155 - $185/ hr</t>
        </r>
      </text>
    </comment>
    <comment ref="K18" authorId="0" shapeId="0" xr:uid="{19B74720-9E85-4BB8-AFD4-D84278289D35}">
      <text>
        <r>
          <rPr>
            <sz val="9"/>
            <color indexed="81"/>
            <rFont val="Tahoma"/>
            <family val="2"/>
          </rPr>
          <t>Average Travel Speed:
+allowing for rests and unloading</t>
        </r>
      </text>
    </comment>
    <comment ref="L18" authorId="0" shapeId="0" xr:uid="{F64CB6F7-DFAC-41FF-8603-7ADF9C6439AA}">
      <text>
        <r>
          <rPr>
            <sz val="9"/>
            <color indexed="81"/>
            <rFont val="Tahoma"/>
            <family val="2"/>
          </rPr>
          <t>Payload</t>
        </r>
      </text>
    </comment>
    <comment ref="K19" authorId="0" shapeId="0" xr:uid="{9227006F-A638-4FF5-84C7-434F2F04FCEB}">
      <text>
        <r>
          <rPr>
            <sz val="9"/>
            <color indexed="81"/>
            <rFont val="Tahoma"/>
            <family val="2"/>
          </rPr>
          <t>Average Travel Speed</t>
        </r>
      </text>
    </comment>
    <comment ref="L19" authorId="0" shapeId="0" xr:uid="{58D677E7-E17D-46D6-9CCD-A7FE69C5CCD6}">
      <text>
        <r>
          <rPr>
            <sz val="9"/>
            <color indexed="81"/>
            <rFont val="Tahoma"/>
            <family val="2"/>
          </rPr>
          <t>Payload</t>
        </r>
      </text>
    </comment>
    <comment ref="K27" authorId="0" shapeId="0" xr:uid="{ED38C33B-397B-4F27-AD24-CDF7AE5971BD}">
      <text>
        <r>
          <rPr>
            <sz val="9"/>
            <color indexed="81"/>
            <rFont val="Tahoma"/>
            <family val="2"/>
          </rPr>
          <t>cu.m to tonne conversion</t>
        </r>
      </text>
    </comment>
    <comment ref="N27" authorId="0" shapeId="0" xr:uid="{74B3DC8C-A382-4F93-A3DC-944D0EDB961C}">
      <text>
        <r>
          <rPr>
            <sz val="9"/>
            <color indexed="81"/>
            <rFont val="Tahoma"/>
            <family val="2"/>
          </rPr>
          <t>per tonne rate</t>
        </r>
      </text>
    </comment>
  </commentList>
</comments>
</file>

<file path=xl/sharedStrings.xml><?xml version="1.0" encoding="utf-8"?>
<sst xmlns="http://schemas.openxmlformats.org/spreadsheetml/2006/main" count="720" uniqueCount="429">
  <si>
    <t>.</t>
  </si>
  <si>
    <t>Key Lists</t>
  </si>
  <si>
    <t>Description</t>
  </si>
  <si>
    <t>Units</t>
  </si>
  <si>
    <t>Date</t>
  </si>
  <si>
    <t>Output review time periods</t>
  </si>
  <si>
    <t>Version</t>
  </si>
  <si>
    <t>Detail</t>
  </si>
  <si>
    <t>Inflation Rate</t>
  </si>
  <si>
    <t>Average Annual Inflation Rate based on Canadian CPI and Inflation</t>
  </si>
  <si>
    <t xml:space="preserve">
ID
</t>
  </si>
  <si>
    <t>a</t>
  </si>
  <si>
    <t>b</t>
  </si>
  <si>
    <t>c</t>
  </si>
  <si>
    <t>d</t>
  </si>
  <si>
    <t>Project Management</t>
  </si>
  <si>
    <t>Bonding/ Insurance</t>
  </si>
  <si>
    <t>Contingency</t>
  </si>
  <si>
    <t>Engagement Costs</t>
  </si>
  <si>
    <t>Regulatory Compliance Costs</t>
  </si>
  <si>
    <t>Site Inspection</t>
  </si>
  <si>
    <t>Reclamation Activity</t>
  </si>
  <si>
    <t>Yes</t>
  </si>
  <si>
    <t>No</t>
  </si>
  <si>
    <t>Disposal Costs</t>
  </si>
  <si>
    <t>Contingency (e.g. quantity/ cost contingencies)</t>
  </si>
  <si>
    <t>Item</t>
  </si>
  <si>
    <t>tonnes</t>
  </si>
  <si>
    <t>km</t>
  </si>
  <si>
    <t>sq.m</t>
  </si>
  <si>
    <t>litres</t>
  </si>
  <si>
    <t>pieces of equipment</t>
  </si>
  <si>
    <t>ha</t>
  </si>
  <si>
    <t>yes or no</t>
  </si>
  <si>
    <t>cu.m</t>
  </si>
  <si>
    <t>kg</t>
  </si>
  <si>
    <t>%</t>
  </si>
  <si>
    <t>L</t>
  </si>
  <si>
    <t>tonne</t>
  </si>
  <si>
    <t>4x operators</t>
  </si>
  <si>
    <t>Unit Rate</t>
  </si>
  <si>
    <t>Yes or No triggers</t>
  </si>
  <si>
    <t>n/a</t>
  </si>
  <si>
    <t>Direct Costs</t>
  </si>
  <si>
    <t>Indirect Costs</t>
  </si>
  <si>
    <t>Labour</t>
  </si>
  <si>
    <t>Equipment</t>
  </si>
  <si>
    <t>Crew</t>
  </si>
  <si>
    <t>hr</t>
  </si>
  <si>
    <t>L of fuel containers</t>
  </si>
  <si>
    <t>persondays</t>
  </si>
  <si>
    <t>Quantity</t>
  </si>
  <si>
    <t>..</t>
  </si>
  <si>
    <t>Prepare Abandoned Equipment for removal/ demobilization</t>
  </si>
  <si>
    <t>Prepare Abandoned Camp/ Buildings/ Infrastructure for removal/ demobilization</t>
  </si>
  <si>
    <t>Costing Detail</t>
  </si>
  <si>
    <t>Subtotals</t>
  </si>
  <si>
    <t>Tipping fees for industrial waste.</t>
  </si>
  <si>
    <t>Develop Work Specific Cost</t>
  </si>
  <si>
    <t>No Work</t>
  </si>
  <si>
    <t>Sub-contractor</t>
  </si>
  <si>
    <t>Twin Otter costs (w/ fuel)</t>
  </si>
  <si>
    <t>Camp rental rate</t>
  </si>
  <si>
    <t>da</t>
  </si>
  <si>
    <t>End</t>
  </si>
  <si>
    <t>Entry</t>
  </si>
  <si>
    <t>Quantities</t>
  </si>
  <si>
    <t>Production</t>
  </si>
  <si>
    <t>Production - units/ crewday</t>
  </si>
  <si>
    <t xml:space="preserve">4x workers @ 16'x14' (20 sq.m) structure in 3 hours:
→ 80 sq.m in 12 hr-day
</t>
  </si>
  <si>
    <t xml:space="preserve">Dozer production:
→ 300 l.cu.m/ hr (CAT handbook for D6R @ 30m) * 0.8 non-optimal efficiency = 240 l.cu.m/ hr
→ 1 ha @ 100 mm push = 1,000 cu.m/ ha = 1,400 l.cu.m/ ha;
→ 0.17 ha/ hr @ 12 hr-day (11 hr worktime);
→ 1.9 ha/ day
</t>
  </si>
  <si>
    <t>Allow 1 day of costs</t>
  </si>
  <si>
    <t>Equipment fleet</t>
  </si>
  <si>
    <t>day</t>
  </si>
  <si>
    <t>t</t>
  </si>
  <si>
    <t>Operation of camp</t>
  </si>
  <si>
    <t>ICM - Geotechnical Monitoring</t>
  </si>
  <si>
    <t>ICM - Surface Water Quality/ ARD Monitoring</t>
  </si>
  <si>
    <t xml:space="preserve">Allow 200 m haul - Excavate, load, spread:
→ 20T Exc @ 0.23 min cycle, 0.8 cu.m bucket (104 l.cu.m/ hr);
→ 80 cu.m/ hr @ 12 hr day (11 hr worktime);
→ 880 cu.m/ day
</t>
  </si>
  <si>
    <t xml:space="preserve">2x workers @ 1 ha/ day:
→ 4 person crew @ 2 ha/ day
</t>
  </si>
  <si>
    <t xml:space="preserve">2x workers @ 1 piece of equipment per 30 min:
→ 2x workers @ 22 pieces/ 12 hr-day (11 hr worktime);
→ 4 person crew @ 44 pieces/ day
</t>
  </si>
  <si>
    <t>2x workers @ 2 ha/ day:
→ 4 person crew @ 4 ha/day</t>
  </si>
  <si>
    <t xml:space="preserve">2x workers @ shovel and package 0.5 cu.m/ 4hr:
→ 2x workers @ 1.5 cu.m/ day
→ 4 person crew @ 3 cu.m/ day
</t>
  </si>
  <si>
    <t>days</t>
  </si>
  <si>
    <t xml:space="preserve">Mobilization of camp and supplies
</t>
  </si>
  <si>
    <t xml:space="preserve">Waste disposal tipping fee:
→ Yellowknife
</t>
  </si>
  <si>
    <t xml:space="preserve">Hazardous Waste disposal tipping fee - contaminated soil:
→ Yellowknife
</t>
  </si>
  <si>
    <t xml:space="preserve">Hazardous Waste disposal tipping fee - liquid:
→ Yellowknife
</t>
  </si>
  <si>
    <t>Included in disposal fee</t>
  </si>
  <si>
    <t>INPUT</t>
  </si>
  <si>
    <t xml:space="preserve"> </t>
  </si>
  <si>
    <t>Mob haul (Tractor w/ operator and fuel)</t>
  </si>
  <si>
    <t>Variable1</t>
  </si>
  <si>
    <t>Variable2</t>
  </si>
  <si>
    <t>Variable3</t>
  </si>
  <si>
    <t>2020 Real Dollars</t>
  </si>
  <si>
    <t>xxx-xxx-xxxx</t>
  </si>
  <si>
    <t>Section</t>
  </si>
  <si>
    <t>Sub-Sect.</t>
  </si>
  <si>
    <t>trips</t>
  </si>
  <si>
    <t>$</t>
  </si>
  <si>
    <t>Assigned Cost</t>
  </si>
  <si>
    <t>years</t>
  </si>
  <si>
    <t>Labourer (Category D Class)</t>
  </si>
  <si>
    <r>
      <t xml:space="preserve">20T Excavator (Group 9) (w/ </t>
    </r>
    <r>
      <rPr>
        <u/>
        <sz val="9"/>
        <color theme="1"/>
        <rFont val="Calibri"/>
        <family val="2"/>
      </rPr>
      <t>operator</t>
    </r>
    <r>
      <rPr>
        <sz val="9"/>
        <color theme="1"/>
        <rFont val="Calibri"/>
        <family val="2"/>
      </rPr>
      <t xml:space="preserve"> and fuel)</t>
    </r>
  </si>
  <si>
    <r>
      <t xml:space="preserve">30T Haul Truck (Group 3) (w/ </t>
    </r>
    <r>
      <rPr>
        <u/>
        <sz val="9"/>
        <color theme="1"/>
        <rFont val="Calibri"/>
        <family val="2"/>
      </rPr>
      <t>operator</t>
    </r>
    <r>
      <rPr>
        <sz val="9"/>
        <color theme="1"/>
        <rFont val="Calibri"/>
        <family val="2"/>
      </rPr>
      <t xml:space="preserve"> and fuel)</t>
    </r>
  </si>
  <si>
    <r>
      <t xml:space="preserve">Hourly rate:
→ Yukon 3rd Party Rental Rates selected
3 rates are shown for </t>
    </r>
    <r>
      <rPr>
        <u/>
        <sz val="9"/>
        <color theme="1"/>
        <rFont val="Calibri"/>
        <family val="2"/>
      </rPr>
      <t xml:space="preserve">reference </t>
    </r>
    <r>
      <rPr>
        <sz val="9"/>
        <color theme="1"/>
        <rFont val="Calibri"/>
        <family val="2"/>
      </rPr>
      <t xml:space="preserve">in the 'variables' columns:
→ 2020 Dollars Reclaim Rates
→ 2020 Dollars Yukon 3rd Party Rental Rates
→ 2020 Dollars Alberta Roadbuilders &amp; Heavy Construction Association equipment rental rates guide
</t>
    </r>
  </si>
  <si>
    <t xml:space="preserve">Hourly rate:
→ Yukon 3rd Party Rental Rates Selected
</t>
  </si>
  <si>
    <t>2019 Vendor Quote</t>
  </si>
  <si>
    <t>2020 Vendor Quote</t>
  </si>
  <si>
    <t>Estimate based on small scaled cleanup projects:
→ 2nd variable column to allow for Project Specific Input</t>
  </si>
  <si>
    <t>Post-Closure - Monitoring and Inspection</t>
  </si>
  <si>
    <t>Enter laboratory costs/ event</t>
  </si>
  <si>
    <t>Enter reporting costs/ event</t>
  </si>
  <si>
    <t>Enter other costs/ event</t>
  </si>
  <si>
    <t>Work - crewday</t>
  </si>
  <si>
    <t>ICM Monitoring</t>
  </si>
  <si>
    <t>Interim Care and Maintenance (ICM)</t>
  </si>
  <si>
    <t>Post-Closure Monitoring and Inspection</t>
  </si>
  <si>
    <t>Health and Safety Plans/ Monitoring &amp; QA/QC</t>
  </si>
  <si>
    <t>Operator A</t>
  </si>
  <si>
    <t>barrels</t>
  </si>
  <si>
    <t>4.  LOCATION OF ACTIVITIES</t>
  </si>
  <si>
    <t>8.  PROJECT DESCRIPTION</t>
  </si>
  <si>
    <t>9.  CAMP</t>
  </si>
  <si>
    <t>10.  ROAD AND ACCESSES</t>
  </si>
  <si>
    <t>12.  EQUIPMENT</t>
  </si>
  <si>
    <t>13.  FUEL</t>
  </si>
  <si>
    <t>17.  POTENTIAL ENVIRONMENTAL IMPACTS OF THE PROJECT AND PROPOSED MITIGATIONS</t>
  </si>
  <si>
    <t>18.  CLOSURE AND RECLAMATION</t>
  </si>
  <si>
    <t>$/ km</t>
  </si>
  <si>
    <t>Sub Category</t>
  </si>
  <si>
    <t>Cost Category</t>
  </si>
  <si>
    <t>Activity No.</t>
  </si>
  <si>
    <t xml:space="preserve">Hourly rate:
→ 2020 Yukon Fair Wage Schedule w/ 200% loading
→ loading includes overhead, payroll, 1.5x pay for overtime &gt; 40 hrs and profit
</t>
  </si>
  <si>
    <t xml:space="preserve">Daily equipment rate:
→ 1x excavator
→ 2x haul trucks
→ 1x bulldozer
</t>
  </si>
  <si>
    <r>
      <t xml:space="preserve">D6R Bulldozer (Group 6) (w/ </t>
    </r>
    <r>
      <rPr>
        <u/>
        <sz val="9"/>
        <color theme="1"/>
        <rFont val="Calibri"/>
        <family val="2"/>
      </rPr>
      <t>operator</t>
    </r>
    <r>
      <rPr>
        <sz val="9"/>
        <color theme="1"/>
        <rFont val="Calibri"/>
        <family val="2"/>
      </rPr>
      <t xml:space="preserve"> and fuel)</t>
    </r>
  </si>
  <si>
    <t>Environmental Scientist/ Qualified Person</t>
  </si>
  <si>
    <t xml:space="preserve">Hourly rate:
→ 2020 Yukon Fair Wage Schedule w/ 200% loading
→ loading includes overhead, payroll, 1.5x pay for overtime &gt; 40 hrs, and profit
</t>
  </si>
  <si>
    <t xml:space="preserve">Daily crew rate:
→ 1x supervisor
→ 4x workers
</t>
  </si>
  <si>
    <t xml:space="preserve">Rates:
→ Hourly rate (Yukon 3rd Party Rental Rates Selected)
→ Average travel speed
→ Payload
</t>
  </si>
  <si>
    <t xml:space="preserve">Rate:
→ 2020 Vendor quoted hourly rate
→ vendor stated hourly fuel consumption
→ per landing fee
→ Vendor quoted travel speed
→ Vendor quoted payload
</t>
  </si>
  <si>
    <t xml:space="preserve">2020 Vendor Quote:
→ $500/ t heavy equipment
→ $225.50/ t general industrial waste
</t>
  </si>
  <si>
    <t xml:space="preserve">2020 Vendor Quote:
→ $1.50 waste fuel
→ $1.25 oils/ lubes/ grease
</t>
  </si>
  <si>
    <t>Supervisor (Category A Class. Note: a supervisor is not specifically listed in the fair wage schedule, however, industry pay scales are in-line with skilled trade/ journeymen wages)</t>
  </si>
  <si>
    <t>Construction of winter ice road</t>
  </si>
  <si>
    <t xml:space="preserve">2x workers @ 10 mins to empty barrel and package:
→ 2x workers @ 6 barrels/ hr, 66 barrels for 12 hr-day (11 hr worktime)
→ 4 person crew @ 132 barrels (205L)/ day
</t>
  </si>
  <si>
    <t xml:space="preserve">Re-contour disturbed areas/ grade to match natural surrounding and promote natural drainage:
→ Dozer at full production (grading, ripping, spreading)
→ Excavator &amp; 2x trucks @ 1/3 production (gravel removal, sump burial)
</t>
  </si>
  <si>
    <t xml:space="preserve">Labour work to prepare equipment:
→ Drain fluids
→ Dismantle and package for demobilization
</t>
  </si>
  <si>
    <t xml:space="preserve">Preparation of fuel barrels and fuel containers for removal/ demob:
→ Transfer residual liquids out of containers
→ Decontaminate, as required
</t>
  </si>
  <si>
    <t xml:space="preserve">Labour work to consolidate fuel and prepare for transport:
→ Clean
→ Strap to pallets or set into shipping containers
</t>
  </si>
  <si>
    <t>Soil Remediation (e.g. dig and remove)</t>
  </si>
  <si>
    <t>Disposal of Hazardous Materials</t>
  </si>
  <si>
    <t xml:space="preserve">Tipping fees:
→ Contaminated soil
</t>
  </si>
  <si>
    <t xml:space="preserve">Tipping fees:
→ Waste fuel and waste petrol products
</t>
  </si>
  <si>
    <t xml:space="preserve">Hazmat disposal tipping fees:
→ Contaminated soil
</t>
  </si>
  <si>
    <t xml:space="preserve">Hazmat disposal tipping fees:
→ Waste fuel and waste petrol products
</t>
  </si>
  <si>
    <t xml:space="preserve">Hazmat disposal tipping fees:
→ Empty barrels and fuel containers
</t>
  </si>
  <si>
    <t xml:space="preserve">Demobilization of heavy equipment for reclamation, if mobilized
</t>
  </si>
  <si>
    <t xml:space="preserve">Pursuant to section 85.1 of the Construction Act and section 12 of the accompanying general regulation, all “public contracts” with a contract price of $500,000 or more require the contractor to furnish both a performance bond and a labour and materials bond that, in each case, must be in the prescribed forms and have coverage limits of at least 50% per cent of the contract price.
</t>
  </si>
  <si>
    <t>.2</t>
  </si>
  <si>
    <t>https://www.statsnwt.ca/prices-expenditures/cpi/historical_cpi/index.html</t>
  </si>
  <si>
    <t>https://www.statsnwt.ca/prices-expenditures/cpi/</t>
  </si>
  <si>
    <t>Mobilization, Camp, and Demobilization Costs</t>
  </si>
  <si>
    <t>Mobilization and Demobilization of Workers and Supplies for the Reclamation Work</t>
  </si>
  <si>
    <t>Camp for the Reclamation Work</t>
  </si>
  <si>
    <t>Demobilization of Abandoned Equipment and Materials (+ Heavy Equipment mobilized for the Reclamation Work, if required)</t>
  </si>
  <si>
    <t>Will heavy equipment be required for the reclamation work?</t>
  </si>
  <si>
    <t xml:space="preserve">Supply of reclamation camp
* or if less than 7 calculated working days - daily mobilization and demobilization of workers
</t>
  </si>
  <si>
    <t>Development of Detailed Closure and Reclamation Plan (CRP)</t>
  </si>
  <si>
    <t xml:space="preserve">Hourly rate:
→ based on known project work
</t>
  </si>
  <si>
    <t xml:space="preserve">Default unit rate based on known project work
→ 2nd variable column to allow for Project Specific Input
</t>
  </si>
  <si>
    <t>Total Project Specific Cost</t>
  </si>
  <si>
    <t>$ Cost</t>
  </si>
  <si>
    <t>cost</t>
  </si>
  <si>
    <t xml:space="preserve">Contingency cost for variability in environmental and pricing factors
</t>
  </si>
  <si>
    <t>Prepare Hazardous Materials for Removal/ Demobilization (residual waste fuel, waste fuel containers, hazardous building materials, etc.)</t>
  </si>
  <si>
    <t>Other Project Specific Costs</t>
  </si>
  <si>
    <t>5.08a</t>
  </si>
  <si>
    <t>Project specific cost item #1</t>
  </si>
  <si>
    <t>Project specific cost item #2</t>
  </si>
  <si>
    <t>Project specific cost item #3</t>
  </si>
  <si>
    <t>Existing Securities</t>
  </si>
  <si>
    <t xml:space="preserve">From Application Form:
→ Indicate the total number of hectares to be used in each phase of the project, as well as through the life of the project.
</t>
  </si>
  <si>
    <t>Project Specific Unit Rate</t>
  </si>
  <si>
    <t>$/ tonne</t>
  </si>
  <si>
    <t>(A)  Project Location Access - Unit Rate</t>
  </si>
  <si>
    <t>(B)  Winter Road Construction - Unit Rate</t>
  </si>
  <si>
    <t>(E)  Engagement Costs - Allowance</t>
  </si>
  <si>
    <t>(I)  Other Project Specific Costs - Allowance</t>
  </si>
  <si>
    <t>Reference*</t>
  </si>
  <si>
    <t xml:space="preserve">* The numbered Reference headings correspond to specific numbered items in the Application Form. </t>
  </si>
  <si>
    <t>Applicant's Rationale for Answer</t>
  </si>
  <si>
    <t xml:space="preserve">From 2020 MVLWB Guide:
→ Describe closure and reclamation plans for the project, including any temporary closure(s) and seasonal shutdowns. The level of detail required will depend on the scale and nature of the project.
→ For large or complex projects, this information should be attached to the Application Form in a conceptual Closure and Reclamation Plan...
</t>
  </si>
  <si>
    <t>From 2020 MVLWB Guide to Land Use Permitting Process:
→ 3.2 - 8. Describe the purpose, nature, and location of all activities for all phases (e.g., construction, operation, modification, decommissioning, and closure and reclamation) of the proposed project.</t>
  </si>
  <si>
    <t xml:space="preserve">From 2020 MVLWB Guide:
→ 3.2 - 9. If the project includes a camp, describe the camp, including the following information:
• camp layout, including number, type, and dimensions (m2) of structures...
</t>
  </si>
  <si>
    <t xml:space="preserve">From 2020 MVLWB Guide:
→ 3.2 - 12. Use the table provided to list the type, number, weight (in tonnes), and proposed uses of all equipment proposed to be used.
... The cost of removing this equipment must be reflected in the closure cost estimate (see item 18 below) and will be considered by the Board in development of any security requirements.
</t>
  </si>
  <si>
    <t xml:space="preserve">From 2020 MVLWB Guide:
→ 3.2 - 13. Identify all petroleum-based fuel types (e.g., diesel, gasoline, aviation fuel, propane, etc.) that will be used, and for each fuel type, provide the following information:
• Number of containers;
• Capacity of containers (e.g., litres, pounds);
• Type of container (e.g., barrel, tank, tidy-tank, jerry-cans etc.); and
• Proposed storage or staging location(s).
</t>
  </si>
  <si>
    <t xml:space="preserve">From 2020 MVLWB Guide:
→ 5.3. re: Temporary closure. The closure could be seasonal, planned, or unanticipated, and could be a partial or site-wide closure...  During the closure, the permittee is expected to continue to conduct environmental monitoring and reporting, and to ensure that adequate staff and resources are available to look after the site.
</t>
  </si>
  <si>
    <t xml:space="preserve">From 2020 MVLWB Guide:
→ 3.2 - 17. Using either the Impact-Mitigation Table in the Application Form, or the more detailed Table in Appendix D, identify and describe all potential impacts and proposed mitigations for the proposed activities.
</t>
  </si>
  <si>
    <t xml:space="preserve">The basis for the project-specific unit rate should be the actual budget costs for the operation's mobilization; i.e. the total budget construction cost divided by the kilometer length of the constructed road.
</t>
  </si>
  <si>
    <t>Assigned Unit Rate</t>
  </si>
  <si>
    <t>Reference Rate</t>
  </si>
  <si>
    <t>Calculated Unit Rate</t>
  </si>
  <si>
    <t>Calculation Variable2</t>
  </si>
  <si>
    <t>Project-Specific Cost</t>
  </si>
  <si>
    <t>Calculation Variable1</t>
  </si>
  <si>
    <t>Inflation</t>
  </si>
  <si>
    <t>Calculation Variable3</t>
  </si>
  <si>
    <t>per unit</t>
  </si>
  <si>
    <t>p-day</t>
  </si>
  <si>
    <t>Construction of winter road, "Winter Trail"</t>
  </si>
  <si>
    <t xml:space="preserve">Unit rate based on reference GNWT projects
</t>
  </si>
  <si>
    <t>GNWT Project Costs</t>
  </si>
  <si>
    <t>Unit Rates</t>
  </si>
  <si>
    <t>(C)  ICM Geotechnical Monitoring Costs</t>
  </si>
  <si>
    <t>The Tool uses cost-rates for:</t>
  </si>
  <si>
    <t>Instructions</t>
  </si>
  <si>
    <r>
      <rPr>
        <sz val="9"/>
        <color theme="1"/>
        <rFont val="Symbol"/>
        <family val="1"/>
        <charset val="2"/>
      </rPr>
      <t>·</t>
    </r>
    <r>
      <rPr>
        <sz val="9"/>
        <color theme="1"/>
        <rFont val="Calibri"/>
        <family val="2"/>
      </rPr>
      <t xml:space="preserve"> Calculated $/ flight to site of</t>
    </r>
  </si>
  <si>
    <t>trip</t>
  </si>
  <si>
    <t>Enter number of inspection events per year</t>
  </si>
  <si>
    <t>Enter worker inspection costs/ event</t>
  </si>
  <si>
    <t>Enter number ICM Monitoring years</t>
  </si>
  <si>
    <t>Additional costs</t>
  </si>
  <si>
    <t>* 2020 example: Dam Inspection @ $9,000/ inspection</t>
  </si>
  <si>
    <t>$/ t</t>
  </si>
  <si>
    <t>(D)  ICM Surface Water/ ARD Monitoring Costs</t>
  </si>
  <si>
    <r>
      <rPr>
        <sz val="9"/>
        <color theme="1"/>
        <rFont val="Symbol"/>
        <family val="1"/>
        <charset val="2"/>
      </rPr>
      <t>·</t>
    </r>
    <r>
      <rPr>
        <sz val="9"/>
        <color theme="1"/>
        <rFont val="Calibri"/>
        <family val="2"/>
      </rPr>
      <t xml:space="preserve"> Demobilization by land</t>
    </r>
  </si>
  <si>
    <r>
      <rPr>
        <sz val="9"/>
        <color theme="1"/>
        <rFont val="Symbol"/>
        <family val="1"/>
        <charset val="2"/>
      </rPr>
      <t>·</t>
    </r>
    <r>
      <rPr>
        <sz val="9"/>
        <color theme="1"/>
        <rFont val="Calibri"/>
        <family val="2"/>
      </rPr>
      <t xml:space="preserve"> Demobilization by air</t>
    </r>
  </si>
  <si>
    <r>
      <t xml:space="preserve">The basis for the project-specific unit rate should be the actual budget costs for the operation's mobilization; the total costs of equipment transportation divided by the total tonnage.  Where the costs would include:
</t>
    </r>
    <r>
      <rPr>
        <sz val="9"/>
        <color theme="1"/>
        <rFont val="Symbol"/>
        <family val="1"/>
        <charset val="2"/>
      </rPr>
      <t>·</t>
    </r>
    <r>
      <rPr>
        <sz val="9"/>
        <color theme="1"/>
        <rFont val="Calibri"/>
        <family val="2"/>
        <scheme val="minor"/>
      </rPr>
      <t xml:space="preserve"> fuel
</t>
    </r>
    <r>
      <rPr>
        <sz val="9"/>
        <color theme="1"/>
        <rFont val="Symbol"/>
        <family val="1"/>
        <charset val="2"/>
      </rPr>
      <t>·</t>
    </r>
    <r>
      <rPr>
        <sz val="9"/>
        <color theme="1"/>
        <rFont val="Calibri"/>
        <family val="2"/>
        <scheme val="minor"/>
      </rPr>
      <t xml:space="preserve"> fuel staging
</t>
    </r>
    <r>
      <rPr>
        <sz val="9"/>
        <color theme="1"/>
        <rFont val="Symbol"/>
        <family val="1"/>
        <charset val="2"/>
      </rPr>
      <t>·</t>
    </r>
    <r>
      <rPr>
        <sz val="9"/>
        <color theme="1"/>
        <rFont val="Calibri"/>
        <family val="2"/>
        <scheme val="minor"/>
      </rPr>
      <t xml:space="preserve"> additional required air and land transportation support
</t>
    </r>
  </si>
  <si>
    <t>(H)  Post-Closure Monitoring and Inspection Costs</t>
  </si>
  <si>
    <t>Total Other Project Specific Costs</t>
  </si>
  <si>
    <t>The Tool uses cost/ rates for:</t>
  </si>
  <si>
    <t>The Tool uses cost for:</t>
  </si>
  <si>
    <r>
      <rPr>
        <sz val="9"/>
        <color theme="1"/>
        <rFont val="Symbol"/>
        <family val="1"/>
        <charset val="2"/>
      </rPr>
      <t>·</t>
    </r>
    <r>
      <rPr>
        <sz val="9"/>
        <color theme="1"/>
        <rFont val="Calibri"/>
        <family val="2"/>
      </rPr>
      <t xml:space="preserve"> Engagement of</t>
    </r>
  </si>
  <si>
    <r>
      <rPr>
        <sz val="9"/>
        <color theme="1"/>
        <rFont val="Symbol"/>
        <family val="1"/>
        <charset val="2"/>
      </rPr>
      <t>·</t>
    </r>
    <r>
      <rPr>
        <sz val="9"/>
        <color theme="1"/>
        <rFont val="Calibri"/>
        <family val="2"/>
      </rPr>
      <t xml:space="preserve"> Regulatory Compliance of</t>
    </r>
  </si>
  <si>
    <t>(F)  Regulatory Compliance Costs</t>
  </si>
  <si>
    <t>(G)  Detailed Closure and Reclamation Plan</t>
  </si>
  <si>
    <t xml:space="preserve">
</t>
  </si>
  <si>
    <t xml:space="preserve">
</t>
  </si>
  <si>
    <t xml:space="preserve">Does land restoration require the use of heavy equipment?
</t>
  </si>
  <si>
    <t xml:space="preserve">Placement of salvaged topsoil and/or organics
</t>
  </si>
  <si>
    <t xml:space="preserve">Application of fertilizer
</t>
  </si>
  <si>
    <t xml:space="preserve">Seeding/ planting
</t>
  </si>
  <si>
    <t xml:space="preserve">Prepare equipment for demobilization
</t>
  </si>
  <si>
    <t xml:space="preserve">Consolidation of scrap/ garbage
</t>
  </si>
  <si>
    <t xml:space="preserve">Demolish/ dismantle camp/ buildings/ infrastructure
</t>
  </si>
  <si>
    <t xml:space="preserve">Waste disposal tipping fee
</t>
  </si>
  <si>
    <t xml:space="preserve">Hazmat abatement/ consolidated and contain for demobilization
</t>
  </si>
  <si>
    <t xml:space="preserve">Soil remediation (manual labour to dig out contaminated soil by fuel transfer areas)
</t>
  </si>
  <si>
    <t xml:space="preserve">Site inspection/ monitoring by a Contractor (fly in by air)
</t>
  </si>
  <si>
    <t xml:space="preserve">ICM geotechnical monitoring
</t>
  </si>
  <si>
    <t xml:space="preserve">Construction of winter road for mobilization
</t>
  </si>
  <si>
    <r>
      <t xml:space="preserve">Mobilization of Heavy Equipment for the Reclamation Work, </t>
    </r>
    <r>
      <rPr>
        <u/>
        <sz val="9"/>
        <color theme="1"/>
        <rFont val="Calibri"/>
        <family val="2"/>
      </rPr>
      <t>if required</t>
    </r>
  </si>
  <si>
    <t xml:space="preserve">Mobilization of heavy equipment and materials for reclamation work
</t>
  </si>
  <si>
    <t xml:space="preserve">Mobilization of fuel for reclamation work
</t>
  </si>
  <si>
    <t xml:space="preserve">Contingency
</t>
  </si>
  <si>
    <t xml:space="preserve">Mobilization of workers
</t>
  </si>
  <si>
    <t xml:space="preserve">Mobilization of operators, if required
</t>
  </si>
  <si>
    <t xml:space="preserve">Additional daily mobilization of workers if there is no site camp
</t>
  </si>
  <si>
    <t xml:space="preserve">Demobilization of workers (and operators)
</t>
  </si>
  <si>
    <t xml:space="preserve">Demobilization of camp
</t>
  </si>
  <si>
    <t xml:space="preserve">Operation of reclamation camp/ accommodations and meals
</t>
  </si>
  <si>
    <t>Is the project land-accessible?</t>
  </si>
  <si>
    <t xml:space="preserve">Construction of winter road for demobilization, if required
</t>
  </si>
  <si>
    <t xml:space="preserve">Demobilization of abandoned camp&amp; equipment, debris and wastes
</t>
  </si>
  <si>
    <t xml:space="preserve">Demobilization of reclamation fuel containers
</t>
  </si>
  <si>
    <t xml:space="preserve">Engagement Costs
</t>
  </si>
  <si>
    <t xml:space="preserve">Regulatory Compliance Costs
</t>
  </si>
  <si>
    <t xml:space="preserve">Detailed Closure and Reclamation Plan (Engineering, Research)
</t>
  </si>
  <si>
    <t xml:space="preserve">Post Closure Monitoring and inspection
</t>
  </si>
  <si>
    <t xml:space="preserve">Contingency for the closure and reclamation work
</t>
  </si>
  <si>
    <t xml:space="preserve">Bonding percentage
</t>
  </si>
  <si>
    <t xml:space="preserve">Project management for the closure and reclamation work
</t>
  </si>
  <si>
    <t>Costing Question</t>
  </si>
  <si>
    <t>Information provided</t>
  </si>
  <si>
    <t xml:space="preserve">List total amount of overlapping security and existing associated permits in Rationale Input
</t>
  </si>
  <si>
    <t>Hidden Subtotals</t>
  </si>
  <si>
    <t xml:space="preserve">Other costs not already included in the Tool
</t>
  </si>
  <si>
    <r>
      <t xml:space="preserve">Transport of abandoned </t>
    </r>
    <r>
      <rPr>
        <u/>
        <sz val="9"/>
        <color theme="1"/>
        <rFont val="Calibri"/>
        <family val="2"/>
      </rPr>
      <t xml:space="preserve">buildings </t>
    </r>
    <r>
      <rPr>
        <sz val="9"/>
        <color theme="1"/>
        <rFont val="Calibri"/>
        <family val="2"/>
      </rPr>
      <t xml:space="preserve">and </t>
    </r>
    <r>
      <rPr>
        <u/>
        <sz val="9"/>
        <color theme="1"/>
        <rFont val="Calibri"/>
        <family val="2"/>
      </rPr>
      <t xml:space="preserve">equipment </t>
    </r>
    <r>
      <rPr>
        <sz val="9"/>
        <color theme="1"/>
        <rFont val="Calibri"/>
        <family val="2"/>
      </rPr>
      <t xml:space="preserve">to disposal facility based on total weight:
→ Southern industrial waste disposal (15 hrs to AB).
</t>
    </r>
  </si>
  <si>
    <t>True/ False</t>
  </si>
  <si>
    <t xml:space="preserve">Assume: 
→ 2000 kg for camp
→ 1000 kg for tool and supplies
→ 500 kg for operator sleeper, if required
</t>
  </si>
  <si>
    <t>Quantities Worksheet</t>
  </si>
  <si>
    <t>Activty Unit Rates Worksheet</t>
  </si>
  <si>
    <t xml:space="preserve">Health and safety &amp; QA/QC for the closure and reclamation work
</t>
  </si>
  <si>
    <t>ea.</t>
  </si>
  <si>
    <t xml:space="preserve">Equipment required for reclamation:
→ 1x 20T excavator (20T)
→ 2x 30T haul trucks (25T ea.)
→ 1x D6 bulldozer (25T)
</t>
  </si>
  <si>
    <t>e</t>
  </si>
  <si>
    <t xml:space="preserve">Mobilization Contingency
</t>
  </si>
  <si>
    <t>Detailed Closure and Reclamation Plan</t>
  </si>
  <si>
    <t>Project Name:</t>
  </si>
  <si>
    <t>Applicant's Name:</t>
  </si>
  <si>
    <t>Contact Telephone:</t>
  </si>
  <si>
    <t>Contact Email:</t>
  </si>
  <si>
    <t>Date Prepared:</t>
  </si>
  <si>
    <t>TOTAL CLOSURE COST</t>
  </si>
  <si>
    <t>Enter your Answer</t>
  </si>
  <si>
    <t>COSTING QUESTION</t>
  </si>
  <si>
    <t>Question No.</t>
  </si>
  <si>
    <t>EXISTING SECURITIES</t>
  </si>
  <si>
    <t>ID</t>
  </si>
  <si>
    <t>Yes - Winter Road</t>
  </si>
  <si>
    <t>Yes - All-Season Road</t>
  </si>
  <si>
    <t>Winter Road Construction</t>
  </si>
  <si>
    <t>Land Acccess</t>
  </si>
  <si>
    <t>Yes - Winter Trail</t>
  </si>
  <si>
    <t>Yes - Winter Ice Road</t>
  </si>
  <si>
    <t xml:space="preserve">Waste transport to southern disposal facility from support city
</t>
  </si>
  <si>
    <r>
      <rPr>
        <b/>
        <u/>
        <sz val="10"/>
        <color theme="1"/>
        <rFont val="Calibri"/>
        <family val="2"/>
      </rPr>
      <t>QUANTITY:</t>
    </r>
    <r>
      <rPr>
        <b/>
        <sz val="10"/>
        <color theme="1"/>
        <rFont val="Calibri"/>
        <family val="2"/>
      </rPr>
      <t xml:space="preserve">
What is the total weight of empty fuel storage tanks, if any, to be mobilized to the site?
</t>
    </r>
    <r>
      <rPr>
        <i/>
        <sz val="9"/>
        <color theme="1"/>
        <rFont val="Calibri"/>
        <family val="2"/>
      </rPr>
      <t xml:space="preserve">Enter "0" for no tanks.
The Tool assumes the primary means of fuel storage to be 45-gallon drums or varying sizes of storage tanks.  Drums are addressed in Question 13.
The total weight of the storage tanks is used to estimate their off-site hauling costs, and final disposal costs.
</t>
    </r>
  </si>
  <si>
    <r>
      <rPr>
        <b/>
        <u/>
        <sz val="10"/>
        <color theme="1"/>
        <rFont val="Calibri"/>
        <family val="2"/>
      </rPr>
      <t>YES or NO:</t>
    </r>
    <r>
      <rPr>
        <b/>
        <sz val="10"/>
        <color theme="1"/>
        <rFont val="Calibri"/>
        <family val="2"/>
      </rPr>
      <t xml:space="preserve">
Is Post-Closure Monitoring and Inspection expected?
</t>
    </r>
    <r>
      <rPr>
        <i/>
        <sz val="9"/>
        <color theme="1"/>
        <rFont val="Calibri"/>
        <family val="2"/>
      </rPr>
      <t xml:space="preserve">Similar to Questions 14 and 15 above, Post-Closure Monitoring and Inspection would only be expected for sites with likely environmental impacts to surface water, potential instability of reclaimed areas, or impacts to permafrost.  In these scenarios, enter “Yes”. 
If Post-Closure Monitoring and Inspection is expected, project specific cost (H) must be developed in the Project-Specific Cost worksheet. 
</t>
    </r>
  </si>
  <si>
    <t>Y/ N</t>
  </si>
  <si>
    <t>Truck rental rate</t>
  </si>
  <si>
    <t>Unit rate based on similar small scaled cleanup projects</t>
  </si>
  <si>
    <t>Rental rate + fuel</t>
  </si>
  <si>
    <t>Reference to Calculation Worksheets (WS)</t>
  </si>
  <si>
    <r>
      <t xml:space="preserve">Answer is used to calculate 'land' and 'air' mobilization unit rates for:
</t>
    </r>
    <r>
      <rPr>
        <i/>
        <sz val="9"/>
        <color theme="1"/>
        <rFont val="Symbol"/>
        <family val="1"/>
        <charset val="2"/>
      </rPr>
      <t>·</t>
    </r>
    <r>
      <rPr>
        <i/>
        <sz val="9"/>
        <color theme="1"/>
        <rFont val="Calibri"/>
        <family val="2"/>
      </rPr>
      <t xml:space="preserve"> Activity Rates WS - 5.0 Mobilization, Camp, and Demobilization Costs</t>
    </r>
  </si>
  <si>
    <r>
      <t xml:space="preserve">Answer is used as:
</t>
    </r>
    <r>
      <rPr>
        <i/>
        <sz val="9"/>
        <color theme="1"/>
        <rFont val="Symbol"/>
        <family val="1"/>
        <charset val="2"/>
      </rPr>
      <t>·</t>
    </r>
    <r>
      <rPr>
        <i/>
        <sz val="9"/>
        <color theme="1"/>
        <rFont val="Calibri"/>
        <family val="2"/>
      </rPr>
      <t xml:space="preserve"> 'Quantities WS - 2.03 Demolish/ Dismantle Camp/ Buildings/ Infrastructure' quantity
</t>
    </r>
  </si>
  <si>
    <r>
      <t xml:space="preserve">Answer is used as a component of:
</t>
    </r>
    <r>
      <rPr>
        <i/>
        <sz val="9"/>
        <color theme="1"/>
        <rFont val="Symbol"/>
        <family val="1"/>
        <charset val="2"/>
      </rPr>
      <t>·</t>
    </r>
    <r>
      <rPr>
        <i/>
        <sz val="9"/>
        <color theme="1"/>
        <rFont val="Calibri"/>
        <family val="2"/>
      </rPr>
      <t xml:space="preserve"> 'Quantities WS - 2.04 Waste transport to South' quantity
</t>
    </r>
    <r>
      <rPr>
        <i/>
        <sz val="9"/>
        <color theme="1"/>
        <rFont val="Symbol"/>
        <family val="1"/>
        <charset val="2"/>
      </rPr>
      <t>·</t>
    </r>
    <r>
      <rPr>
        <i/>
        <sz val="9"/>
        <color theme="1"/>
        <rFont val="Calibri"/>
        <family val="2"/>
      </rPr>
      <t xml:space="preserve"> 'Quantities WS - 2.05 Waste disposal tipping fee' quantity
</t>
    </r>
    <r>
      <rPr>
        <i/>
        <sz val="9"/>
        <color theme="1"/>
        <rFont val="Symbol"/>
        <family val="1"/>
        <charset val="2"/>
      </rPr>
      <t>·</t>
    </r>
    <r>
      <rPr>
        <i/>
        <sz val="9"/>
        <color theme="1"/>
        <rFont val="Calibri"/>
        <family val="2"/>
      </rPr>
      <t xml:space="preserve"> 'Quantities WS - 5.16 Demob' quantity
</t>
    </r>
  </si>
  <si>
    <r>
      <t xml:space="preserve">Answer is used to trigger:
</t>
    </r>
    <r>
      <rPr>
        <i/>
        <sz val="9"/>
        <color theme="1"/>
        <rFont val="Symbol"/>
        <family val="1"/>
        <charset val="2"/>
      </rPr>
      <t>·</t>
    </r>
    <r>
      <rPr>
        <i/>
        <sz val="9"/>
        <color theme="1"/>
        <rFont val="Calibri"/>
        <family val="2"/>
      </rPr>
      <t xml:space="preserve"> 'Quantities WS - 5.02 Construction of winter road for mobilization' costs
</t>
    </r>
    <r>
      <rPr>
        <i/>
        <sz val="9"/>
        <color theme="1"/>
        <rFont val="Symbol"/>
        <family val="1"/>
        <charset val="2"/>
      </rPr>
      <t>·</t>
    </r>
    <r>
      <rPr>
        <i/>
        <sz val="9"/>
        <color theme="1"/>
        <rFont val="Calibri"/>
        <family val="2"/>
      </rPr>
      <t xml:space="preserve"> 'Quantities WS - 5.15 Construction of winter road for demobilization' costs
And used to select Winter Trail, Winter Ice Road or Fixed-Wing Aircraft unit rates for:
</t>
    </r>
    <r>
      <rPr>
        <i/>
        <sz val="9"/>
        <color theme="1"/>
        <rFont val="Symbol"/>
        <family val="1"/>
        <charset val="2"/>
      </rPr>
      <t xml:space="preserve">· </t>
    </r>
    <r>
      <rPr>
        <i/>
        <sz val="9"/>
        <color theme="1"/>
        <rFont val="Calibri"/>
        <family val="2"/>
      </rPr>
      <t xml:space="preserve">Activity Rates WS - 5.02 Construction of winter road for mobilization
</t>
    </r>
    <r>
      <rPr>
        <i/>
        <sz val="9"/>
        <color theme="1"/>
        <rFont val="Symbol"/>
        <family val="1"/>
        <charset val="2"/>
      </rPr>
      <t>·</t>
    </r>
    <r>
      <rPr>
        <i/>
        <sz val="9"/>
        <color theme="1"/>
        <rFont val="Calibri"/>
        <family val="2"/>
      </rPr>
      <t xml:space="preserve"> Activity Rates WS - 5.15 Construction of winter road for demobilization</t>
    </r>
  </si>
  <si>
    <r>
      <t xml:space="preserve">Answer is used as:
</t>
    </r>
    <r>
      <rPr>
        <i/>
        <sz val="9"/>
        <color theme="1"/>
        <rFont val="Symbol"/>
        <family val="1"/>
        <charset val="2"/>
      </rPr>
      <t>·</t>
    </r>
    <r>
      <rPr>
        <i/>
        <sz val="9"/>
        <color theme="1"/>
        <rFont val="Calibri"/>
        <family val="2"/>
      </rPr>
      <t xml:space="preserve"> 'Quantities WS - 2.01 Prepare Equipment for Demobilization' quantity
</t>
    </r>
  </si>
  <si>
    <r>
      <t xml:space="preserve">Converted to tonnes and used as empty barrel component of:
</t>
    </r>
    <r>
      <rPr>
        <i/>
        <sz val="9"/>
        <color theme="1"/>
        <rFont val="Symbol"/>
        <family val="1"/>
        <charset val="2"/>
      </rPr>
      <t xml:space="preserve">· </t>
    </r>
    <r>
      <rPr>
        <i/>
        <sz val="9"/>
        <color theme="1"/>
        <rFont val="Calibri"/>
        <family val="2"/>
      </rPr>
      <t xml:space="preserve">'Quantities WS - 3.04 Transport of Solid Hazardous wastes' quantity
</t>
    </r>
    <r>
      <rPr>
        <i/>
        <sz val="9"/>
        <color theme="1"/>
        <rFont val="Symbol"/>
        <family val="1"/>
        <charset val="2"/>
      </rPr>
      <t xml:space="preserve">· </t>
    </r>
    <r>
      <rPr>
        <i/>
        <sz val="9"/>
        <color theme="1"/>
        <rFont val="Calibri"/>
        <family val="2"/>
      </rPr>
      <t xml:space="preserve">'Quantities WS - 3.06 Tipping fees - empty barrels and containers' quantity
</t>
    </r>
    <r>
      <rPr>
        <i/>
        <sz val="9"/>
        <color theme="1"/>
        <rFont val="Symbol"/>
        <family val="1"/>
        <charset val="2"/>
      </rPr>
      <t xml:space="preserve">· </t>
    </r>
    <r>
      <rPr>
        <i/>
        <sz val="9"/>
        <color theme="1"/>
        <rFont val="Calibri"/>
        <family val="2"/>
      </rPr>
      <t xml:space="preserve">'Quantities WS - 5.16 Demob' quantity
</t>
    </r>
  </si>
  <si>
    <r>
      <t xml:space="preserve">Answer used as empty fuel storage tank component of:
</t>
    </r>
    <r>
      <rPr>
        <i/>
        <sz val="9"/>
        <color theme="1"/>
        <rFont val="Symbol"/>
        <family val="1"/>
        <charset val="2"/>
      </rPr>
      <t xml:space="preserve">· </t>
    </r>
    <r>
      <rPr>
        <i/>
        <sz val="9"/>
        <color theme="1"/>
        <rFont val="Calibri"/>
        <family val="2"/>
      </rPr>
      <t xml:space="preserve">'Quantities WS - 3.04 Transport of Solid Hazardous wastes' quantity
</t>
    </r>
    <r>
      <rPr>
        <i/>
        <sz val="9"/>
        <color theme="1"/>
        <rFont val="Symbol"/>
        <family val="1"/>
        <charset val="2"/>
      </rPr>
      <t xml:space="preserve">· </t>
    </r>
    <r>
      <rPr>
        <i/>
        <sz val="9"/>
        <color theme="1"/>
        <rFont val="Calibri"/>
        <family val="2"/>
      </rPr>
      <t xml:space="preserve">'Quantities WS - 3.06 Tipping fees - empty barrels and containers' quantity
</t>
    </r>
    <r>
      <rPr>
        <i/>
        <sz val="9"/>
        <color theme="1"/>
        <rFont val="Symbol"/>
        <family val="1"/>
        <charset val="2"/>
      </rPr>
      <t xml:space="preserve">· </t>
    </r>
    <r>
      <rPr>
        <i/>
        <sz val="9"/>
        <color theme="1"/>
        <rFont val="Calibri"/>
        <family val="2"/>
      </rPr>
      <t xml:space="preserve">'Quantities WS - 5.16 Demob' quantity
</t>
    </r>
  </si>
  <si>
    <r>
      <t xml:space="preserve">Answer used to trigger:
</t>
    </r>
    <r>
      <rPr>
        <i/>
        <sz val="9"/>
        <color theme="1"/>
        <rFont val="Symbol"/>
        <family val="1"/>
        <charset val="2"/>
      </rPr>
      <t>·</t>
    </r>
    <r>
      <rPr>
        <i/>
        <sz val="9"/>
        <color theme="1"/>
        <rFont val="Calibri"/>
        <family val="2"/>
      </rPr>
      <t xml:space="preserve"> 'Quantities WS - 4.03 ICM Surface Water/ ARD Monitoring' costs
</t>
    </r>
  </si>
  <si>
    <r>
      <t xml:space="preserve">Answer used to trigger:
</t>
    </r>
    <r>
      <rPr>
        <i/>
        <sz val="9"/>
        <color theme="1"/>
        <rFont val="Symbol"/>
        <family val="1"/>
        <charset val="2"/>
      </rPr>
      <t>·</t>
    </r>
    <r>
      <rPr>
        <i/>
        <sz val="9"/>
        <color theme="1"/>
        <rFont val="Calibri"/>
        <family val="2"/>
      </rPr>
      <t xml:space="preserve"> 'Quantities WS - 4.02 ICM Geotechnical Monitoring' costs
</t>
    </r>
  </si>
  <si>
    <r>
      <t xml:space="preserve">Answer used to trigger:
</t>
    </r>
    <r>
      <rPr>
        <i/>
        <sz val="9"/>
        <color theme="1"/>
        <rFont val="Symbol"/>
        <family val="1"/>
        <charset val="2"/>
      </rPr>
      <t>·</t>
    </r>
    <r>
      <rPr>
        <i/>
        <sz val="9"/>
        <color theme="1"/>
        <rFont val="Calibri"/>
        <family val="2"/>
      </rPr>
      <t xml:space="preserve"> 'Quantities WS - 7.01 Post-Closure Monitoring Costs' costs
</t>
    </r>
  </si>
  <si>
    <r>
      <t xml:space="preserve">Answer is used to trigger:
</t>
    </r>
    <r>
      <rPr>
        <i/>
        <sz val="9"/>
        <color theme="1"/>
        <rFont val="Symbol"/>
        <family val="1"/>
        <charset val="2"/>
      </rPr>
      <t>·</t>
    </r>
    <r>
      <rPr>
        <i/>
        <sz val="9"/>
        <color theme="1"/>
        <rFont val="Calibri"/>
        <family val="2"/>
      </rPr>
      <t xml:space="preserve"> 'Quantities WS - 6.03 Detailed Closure and Reclamation Plan' costs
</t>
    </r>
    <r>
      <rPr>
        <i/>
        <sz val="9"/>
        <color theme="1"/>
        <rFont val="Symbol"/>
        <family val="1"/>
        <charset val="2"/>
      </rPr>
      <t>·</t>
    </r>
    <r>
      <rPr>
        <i/>
        <sz val="9"/>
        <color theme="1"/>
        <rFont val="Calibri"/>
        <family val="2"/>
      </rPr>
      <t xml:space="preserve"> 'Quantities WS - 6.01 Engagement Costs' costs
</t>
    </r>
    <r>
      <rPr>
        <i/>
        <sz val="9"/>
        <color theme="1"/>
        <rFont val="Symbol"/>
        <family val="1"/>
        <charset val="2"/>
      </rPr>
      <t>·</t>
    </r>
    <r>
      <rPr>
        <i/>
        <sz val="9"/>
        <color theme="1"/>
        <rFont val="Calibri"/>
        <family val="2"/>
      </rPr>
      <t xml:space="preserve"> 'Quantities WS - 6.02 Regulatory Compliance Costs' costs
</t>
    </r>
  </si>
  <si>
    <r>
      <t xml:space="preserve">Answer triggers selection of 'land' vs 'air' mobilization unit rates for:
</t>
    </r>
    <r>
      <rPr>
        <i/>
        <sz val="9"/>
        <color theme="1"/>
        <rFont val="Symbol"/>
        <family val="1"/>
        <charset val="2"/>
      </rPr>
      <t>·</t>
    </r>
    <r>
      <rPr>
        <i/>
        <sz val="9"/>
        <color theme="1"/>
        <rFont val="Calibri"/>
        <family val="2"/>
      </rPr>
      <t xml:space="preserve"> Activity Rates WS - 5.0 Mobilization, Camp, and Demobilization Costs
</t>
    </r>
    <r>
      <rPr>
        <i/>
        <u/>
        <sz val="9"/>
        <color theme="1"/>
        <rFont val="Calibri"/>
        <family val="2"/>
      </rPr>
      <t>If accessible by all-season road</t>
    </r>
    <r>
      <rPr>
        <i/>
        <sz val="9"/>
        <color theme="1"/>
        <rFont val="Calibri"/>
        <family val="2"/>
      </rPr>
      <t>, a 25% factor (liability reduction) is applied to:</t>
    </r>
    <r>
      <rPr>
        <i/>
        <u/>
        <sz val="9"/>
        <color theme="1"/>
        <rFont val="Calibri"/>
        <family val="2"/>
      </rPr>
      <t xml:space="preserve">
</t>
    </r>
    <r>
      <rPr>
        <i/>
        <sz val="9"/>
        <color theme="1"/>
        <rFont val="Symbol"/>
        <family val="1"/>
        <charset val="2"/>
      </rPr>
      <t>·</t>
    </r>
    <r>
      <rPr>
        <i/>
        <sz val="9"/>
        <color theme="1"/>
        <rFont val="Calibri"/>
        <family val="2"/>
      </rPr>
      <t xml:space="preserve"> Quantities WS - 2.01 Prepare equipment for demobilization
</t>
    </r>
    <r>
      <rPr>
        <i/>
        <sz val="9"/>
        <color theme="1"/>
        <rFont val="Symbol"/>
        <family val="1"/>
        <charset val="2"/>
      </rPr>
      <t>·</t>
    </r>
    <r>
      <rPr>
        <i/>
        <sz val="9"/>
        <color theme="1"/>
        <rFont val="Calibri"/>
        <family val="2"/>
      </rPr>
      <t xml:space="preserve"> Quantities WS - 2.04 Waste transport South
</t>
    </r>
    <r>
      <rPr>
        <i/>
        <sz val="9"/>
        <color theme="1"/>
        <rFont val="Symbol"/>
        <family val="1"/>
        <charset val="2"/>
      </rPr>
      <t>·</t>
    </r>
    <r>
      <rPr>
        <i/>
        <sz val="9"/>
        <color theme="1"/>
        <rFont val="Calibri"/>
        <family val="2"/>
      </rPr>
      <t xml:space="preserve"> Quantities WS - 2.05 Disposal fees
</t>
    </r>
  </si>
  <si>
    <r>
      <rPr>
        <i/>
        <u/>
        <sz val="9"/>
        <color theme="1"/>
        <rFont val="Calibri"/>
        <family val="2"/>
      </rPr>
      <t>If construction of a winter road is required</t>
    </r>
    <r>
      <rPr>
        <i/>
        <sz val="9"/>
        <color theme="1"/>
        <rFont val="Calibri"/>
        <family val="2"/>
      </rPr>
      <t>, answer is used as:</t>
    </r>
    <r>
      <rPr>
        <i/>
        <u/>
        <sz val="9"/>
        <color theme="1"/>
        <rFont val="Calibri"/>
        <family val="2"/>
      </rPr>
      <t xml:space="preserve">
</t>
    </r>
    <r>
      <rPr>
        <sz val="9"/>
        <color theme="1"/>
        <rFont val="Symbol"/>
        <family val="1"/>
        <charset val="2"/>
      </rPr>
      <t>·</t>
    </r>
    <r>
      <rPr>
        <i/>
        <sz val="9"/>
        <color theme="1"/>
        <rFont val="Calibri"/>
        <family val="2"/>
      </rPr>
      <t xml:space="preserve"> 'Quantities WS - 5.02 Construction of winter road for mobilization' quantity
</t>
    </r>
    <r>
      <rPr>
        <i/>
        <sz val="9"/>
        <color theme="1"/>
        <rFont val="Symbol"/>
        <family val="1"/>
        <charset val="2"/>
      </rPr>
      <t>·</t>
    </r>
    <r>
      <rPr>
        <i/>
        <sz val="9"/>
        <color theme="1"/>
        <rFont val="Calibri"/>
        <family val="2"/>
      </rPr>
      <t xml:space="preserve"> 'Quantities WS - 5.15 Construction of winter road for demobilization, if required' quantity
</t>
    </r>
  </si>
  <si>
    <t xml:space="preserve">Southern industrial waste disposal (15 hrs to AB)?
</t>
  </si>
  <si>
    <t xml:space="preserve">Transport of solid hazardous wastes to southern disposal facility from support city
</t>
  </si>
  <si>
    <t xml:space="preserve">Transport of liquid hazardous wastes to southern disposal facility from support city
</t>
  </si>
  <si>
    <t xml:space="preserve">Place overburden to restore disturbed areas to match original site conditions/ promote vegetation:
→ Assign 15% of total disturbed areas to create pockets for revegetation
→ 150 mm thick cover
</t>
  </si>
  <si>
    <t xml:space="preserve">Include costs for applying fertilizer:
→ Labour + fertilizer costs
→ 15% of total disturbed areas
</t>
  </si>
  <si>
    <t xml:space="preserve">Include costs for seeding/ planting:
→ Labour + seed costs
→ 15% of total disturbed areas 
</t>
  </si>
  <si>
    <t>Yes/ No answer for heavy equipment</t>
  </si>
  <si>
    <t xml:space="preserve">Labour work to dismantle buildings:
→ work production based on sq.m footprint area of buildings
</t>
  </si>
  <si>
    <t xml:space="preserve">Labour work to pickup and consolidate scrap and debris
</t>
  </si>
  <si>
    <t xml:space="preserve">Estimate of typical soil clean-up for Fuel Transfer area:
→ Estimate 20L spill for 200,000L of fuel = 0.01%;
→ API Soil Volume required to immobilize a volume of hydrocarbons calculation, 0.4 soil porosity, 15% residual saturation for diesel in fine sand/ silt.
</t>
  </si>
  <si>
    <t xml:space="preserve">Disposal shipping from support city:
→ Empty barrels
→ Empty fuel tanks
→ Contaminated soil from soil remediation (2.05t/cu.m)
</t>
  </si>
  <si>
    <t>Transport of solid hazardous wastes to southern disposal facility from support city</t>
  </si>
  <si>
    <t xml:space="preserve">Disposal shipping from support city:
→ Waste fuel (10% of total volume of fuel)(0.832 t/cu.m)
→ Assume 1% of total volume of fuel for petrol waste products (waste oils, lubricants, oil filters and absorbent pads) to make up bulk of 'other' hazmat
</t>
  </si>
  <si>
    <t xml:space="preserve">Tipping fees:
→ Empty barrels @ 20kg/ barrel
→ Empty fuel storage tanks
</t>
  </si>
  <si>
    <t xml:space="preserve">Costs triggered by distance of site &gt; 0 km.
Travel to site:
→ Air or all-season road travel
→ 1 scientist + 1 labourer/ wildlife monitoring crew
</t>
  </si>
  <si>
    <t xml:space="preserve">Cost triggered by potential impacts of proposed project on Land:
→ Monitoring costs
</t>
  </si>
  <si>
    <t xml:space="preserve">Costs triggered by potential impacts of proposed project on Water:
→ Monitoring costs
</t>
  </si>
  <si>
    <t>Winter trail or winter ice road rates</t>
  </si>
  <si>
    <t xml:space="preserve">Fuel estimate based on total work calculation:
→ 100 L/ equipment/ day
</t>
  </si>
  <si>
    <t xml:space="preserve">Costs triggered by distance of site &gt; 0 km.
</t>
  </si>
  <si>
    <t xml:space="preserve">Work days based on total work calculation:
→ 6 person crew
</t>
  </si>
  <si>
    <t>Unit rate trigger for land vs. air demob rates</t>
  </si>
  <si>
    <t xml:space="preserve">Demobilization of:
→ Camp and equipment
→ Hazardous solid waste
→ Hazardous liquid waste
</t>
  </si>
  <si>
    <t xml:space="preserve">Cost triggered if a detailed Closure and Reclamation Plan is required:
→ Engagement costs if further development of a Reclamation and Closure Plan is required
</t>
  </si>
  <si>
    <t xml:space="preserve">Cost triggered if a detailed Closure and Reclamation Plan is required:
→ Permitting and legal costs for reclamation work
</t>
  </si>
  <si>
    <t xml:space="preserve">Cost triggered if a detailed Closure and Reclamation Plan is required.
</t>
  </si>
  <si>
    <t xml:space="preserve">Cost triggered if a Post-Closure Monitoring and Inspection program is required.
</t>
  </si>
  <si>
    <t xml:space="preserve">Project management costs typically 5% to 10% of the Direct costs.
</t>
  </si>
  <si>
    <t>Health and safety &amp; QA/QC typically 1% to 3% of the Direct costs.</t>
  </si>
  <si>
    <t xml:space="preserve">To be developed in Project-Specific Costs worksheet
</t>
  </si>
  <si>
    <t xml:space="preserve">Contingency was assigned for uncertainties of cost, environmental and schedule risks:
→ a 15% contingency is considered low in construction applications for early stages of a project
→ However, was selected based on the expected limited reclamation work for most land-use operations
</t>
  </si>
  <si>
    <t xml:space="preserve">Cost triggered with volume of permitted fuel &gt; 0 L.
Cost of collecting and packaging hazardous materials for disposal:
→ Waste petrol products
→ Used chemicals
→ Batteries
→ Oil filters and absorbent pads
→ Fluorescent lights
</t>
  </si>
  <si>
    <t>…</t>
  </si>
  <si>
    <t>….</t>
  </si>
  <si>
    <t>Key calculated variables</t>
  </si>
  <si>
    <t>Project-specific costs</t>
  </si>
  <si>
    <t>User answers/ information provided</t>
  </si>
  <si>
    <t>Assigned rates/ costs</t>
  </si>
  <si>
    <t>Closure Costs</t>
  </si>
  <si>
    <t xml:space="preserve">6x person base work crew (@ 125kg w/ gear per person):
→ 4 local workers
→ 1 supervisor
→ 1 support
</t>
  </si>
  <si>
    <t xml:space="preserve">Cost balalnce min. 7 days to trigger camp (i.e., 5 flights of camp mob):
→ otherwise daily mob of workers
Camp:
→ x2 sleeper
→ 1x kitchen facility
→ standard pact
→ bear fence
→ 2000 kg for camp
→ 1500 kg for wood
→ 1000 kg for fuel (1 barrel/ week for tents, 1 barrel/ week for genset)
→ 1000 kg for tool and supplies
+ 1x sleeper for 4x operators:
→ 500 kg camp
→ 500 kg wood
→ 500 kg  fuel
</t>
  </si>
  <si>
    <t>* 2020 example: WQ Monitoring and Laboratory Analysis @ $39,000</t>
  </si>
  <si>
    <t xml:space="preserve">ICM surface water quality/ ARD monitoring
</t>
  </si>
  <si>
    <t>Legal</t>
  </si>
  <si>
    <t>Access Roads</t>
  </si>
  <si>
    <t xml:space="preserve">NEW Consumer Price Index (CPI)
→ Yellowknife, NT
→ XXXX
</t>
  </si>
  <si>
    <t xml:space="preserve">Consumer Price Index (CPI) - Monthly
→ Yellowknife, NT
→ End of 2020
</t>
  </si>
  <si>
    <t>Year of Tool Development</t>
  </si>
  <si>
    <t>Project Specific Cost</t>
  </si>
  <si>
    <t>Referenced Cost in Tool</t>
  </si>
  <si>
    <t xml:space="preserve">Units </t>
  </si>
  <si>
    <t>Applicant's Rationale for Project Specific Cost</t>
  </si>
  <si>
    <r>
      <rPr>
        <sz val="9"/>
        <color theme="1"/>
        <rFont val="Symbol"/>
        <family val="1"/>
        <charset val="2"/>
      </rPr>
      <t>·</t>
    </r>
    <r>
      <rPr>
        <sz val="9"/>
        <color theme="1"/>
        <rFont val="Calibri"/>
        <family val="2"/>
      </rPr>
      <t xml:space="preserve"> Winter trail construction</t>
    </r>
  </si>
  <si>
    <r>
      <rPr>
        <sz val="9"/>
        <color theme="1"/>
        <rFont val="Symbol"/>
        <family val="1"/>
        <charset val="2"/>
      </rPr>
      <t>·</t>
    </r>
    <r>
      <rPr>
        <sz val="9"/>
        <color theme="1"/>
        <rFont val="Calibri"/>
        <family val="2"/>
      </rPr>
      <t xml:space="preserve"> Winter ice road construction</t>
    </r>
  </si>
  <si>
    <t xml:space="preserve">If the site is not accessible by land, the Tool assumes air-access by fixed-wing aircraft for demobilizing the abandoned equipment and wastes.  If your project uses another primary method for location access (e.g. helicopter-only or barge), a project-specific unit rate can be entered here.
</t>
  </si>
  <si>
    <t xml:space="preserve">The rates above are based on project costs provided by the GNWT.  As shown, the range of the rates are significant, and can significantly affect the total reclamation costs.  If construction of the project winter road is more construction intensive than a "Winter Trail" but less than the referenced winter ice road construction rate, a project-specific unit rate can be entered here.
</t>
  </si>
  <si>
    <t xml:space="preserve">The rates above are based on similar type cleanup projects in the GNWT.  If project-specific costs are appropriate, provide a breakout of the costs here.
</t>
  </si>
  <si>
    <r>
      <rPr>
        <sz val="9"/>
        <color theme="1"/>
        <rFont val="Symbol"/>
        <family val="1"/>
        <charset val="2"/>
      </rPr>
      <t>·</t>
    </r>
    <r>
      <rPr>
        <sz val="9"/>
        <color theme="1"/>
        <rFont val="Calibri"/>
        <family val="2"/>
      </rPr>
      <t xml:space="preserve"> ICM - Surface Water Quality/ ARD Monitoring</t>
    </r>
  </si>
  <si>
    <r>
      <rPr>
        <sz val="9"/>
        <color theme="1"/>
        <rFont val="Symbol"/>
        <family val="1"/>
        <charset val="2"/>
      </rPr>
      <t>·</t>
    </r>
    <r>
      <rPr>
        <sz val="9"/>
        <color theme="1"/>
        <rFont val="Calibri"/>
        <family val="2"/>
      </rPr>
      <t xml:space="preserve"> Calculated $/ flight to site</t>
    </r>
  </si>
  <si>
    <r>
      <rPr>
        <sz val="9"/>
        <color theme="1"/>
        <rFont val="Symbol"/>
        <family val="1"/>
        <charset val="2"/>
      </rPr>
      <t>·</t>
    </r>
    <r>
      <rPr>
        <sz val="9"/>
        <color theme="1"/>
        <rFont val="Calibri"/>
        <family val="2"/>
      </rPr>
      <t xml:space="preserve"> ICM - Geotechnical Monitoring</t>
    </r>
  </si>
  <si>
    <t xml:space="preserve">The cost above is based on similar type cleanup projects in the GNWT.  If a project-specific costs is appropriate, enter it here.
</t>
  </si>
  <si>
    <t>Develop project-specific Post-Closure Monitoring and Inspection Costs here.</t>
  </si>
  <si>
    <t>FINAL</t>
  </si>
  <si>
    <t>Final</t>
  </si>
  <si>
    <t>x@xmail.com_</t>
  </si>
  <si>
    <t>Barge</t>
  </si>
  <si>
    <t>Budget Costs</t>
  </si>
  <si>
    <t>Allowance</t>
  </si>
  <si>
    <t xml:space="preserve">Restoration of land, as required:
→ underground portals 
→ large fuel storage containment cells &amp; containment berms
→ earth moving or land clearing excavations, stockpiles, quarries &amp; drainage channels
→ access roads &amp; airstrips
→ large areas where topsoil or vegetation was removed
→ building foundations and demolition of large buildings
</t>
  </si>
  <si>
    <t xml:space="preserve">Costs triggered by heavy equipment work:
→ Restoration of land required
</t>
  </si>
  <si>
    <r>
      <t xml:space="preserve">Answer triggers:
</t>
    </r>
    <r>
      <rPr>
        <sz val="9"/>
        <color theme="1"/>
        <rFont val="Symbol"/>
        <family val="1"/>
        <charset val="2"/>
      </rPr>
      <t>·</t>
    </r>
    <r>
      <rPr>
        <i/>
        <sz val="9"/>
        <color theme="1"/>
        <rFont val="Calibri"/>
        <family val="2"/>
      </rPr>
      <t xml:space="preserve"> 'Quantities WS - 1.0 Restoration of Land' costs
</t>
    </r>
    <r>
      <rPr>
        <i/>
        <sz val="9"/>
        <color theme="1"/>
        <rFont val="Symbol"/>
        <family val="1"/>
        <charset val="2"/>
      </rPr>
      <t>·</t>
    </r>
    <r>
      <rPr>
        <i/>
        <sz val="9"/>
        <color theme="1"/>
        <rFont val="Calibri"/>
        <family val="2"/>
      </rPr>
      <t xml:space="preserve"> 'Quantities WS - 5a Mobilization of Heavy Equipment for the Reclamation Work, if required' costs
</t>
    </r>
    <r>
      <rPr>
        <i/>
        <sz val="9"/>
        <color theme="1"/>
        <rFont val="Symbol"/>
        <family val="1"/>
        <charset val="2"/>
      </rPr>
      <t>·</t>
    </r>
    <r>
      <rPr>
        <i/>
        <sz val="9"/>
        <color theme="1"/>
        <rFont val="Calibri"/>
        <family val="2"/>
      </rPr>
      <t xml:space="preserve"> 'Quantities WS - 5.07 Mobilization of operators' costs
</t>
    </r>
    <r>
      <rPr>
        <i/>
        <sz val="9"/>
        <color theme="1"/>
        <rFont val="Symbol"/>
        <family val="1"/>
        <charset val="2"/>
      </rPr>
      <t>·</t>
    </r>
    <r>
      <rPr>
        <i/>
        <sz val="9"/>
        <color theme="1"/>
        <rFont val="Calibri"/>
        <family val="2"/>
      </rPr>
      <t xml:space="preserve"> 'Quantities WS - 5.09 Demobilization of operators' costs
</t>
    </r>
    <r>
      <rPr>
        <i/>
        <sz val="9"/>
        <color theme="1"/>
        <rFont val="Symbol"/>
        <family val="1"/>
        <charset val="2"/>
      </rPr>
      <t>·</t>
    </r>
    <r>
      <rPr>
        <i/>
        <sz val="9"/>
        <color theme="1"/>
        <rFont val="Calibri"/>
        <family val="2"/>
      </rPr>
      <t xml:space="preserve"> 'Quantities WS - 5.17 Demobilization of equipment' costs
</t>
    </r>
    <r>
      <rPr>
        <i/>
        <sz val="9"/>
        <color theme="1"/>
        <rFont val="Symbol"/>
        <family val="1"/>
        <charset val="2"/>
      </rPr>
      <t>·</t>
    </r>
    <r>
      <rPr>
        <i/>
        <sz val="9"/>
        <color theme="1"/>
        <rFont val="Calibri"/>
        <family val="2"/>
      </rPr>
      <t xml:space="preserve"> 'Quantities WS - 5.18 Demobilization of fuels' costs
</t>
    </r>
  </si>
  <si>
    <r>
      <t xml:space="preserve">Answer is used as:
</t>
    </r>
    <r>
      <rPr>
        <sz val="9"/>
        <color theme="1"/>
        <rFont val="Symbol"/>
        <family val="1"/>
        <charset val="2"/>
      </rPr>
      <t>·</t>
    </r>
    <r>
      <rPr>
        <i/>
        <sz val="9"/>
        <color theme="1"/>
        <rFont val="Calibri"/>
        <family val="2"/>
      </rPr>
      <t xml:space="preserve"> 'Quantities WS - 2.02 Consolidation of Scrap/ Garbage' quantity
</t>
    </r>
    <r>
      <rPr>
        <i/>
        <u/>
        <sz val="9"/>
        <color theme="1"/>
        <rFont val="Calibri"/>
        <family val="2"/>
      </rPr>
      <t>If heavy equipment is required</t>
    </r>
    <r>
      <rPr>
        <i/>
        <sz val="9"/>
        <color theme="1"/>
        <rFont val="Calibri"/>
        <family val="2"/>
      </rPr>
      <t>, the answer is used as:</t>
    </r>
    <r>
      <rPr>
        <i/>
        <u/>
        <sz val="9"/>
        <color theme="1"/>
        <rFont val="Calibri"/>
        <family val="2"/>
      </rPr>
      <t xml:space="preserve">
</t>
    </r>
    <r>
      <rPr>
        <sz val="9"/>
        <color theme="1"/>
        <rFont val="Symbol"/>
        <family val="1"/>
        <charset val="2"/>
      </rPr>
      <t>·</t>
    </r>
    <r>
      <rPr>
        <i/>
        <sz val="9"/>
        <color theme="1"/>
        <rFont val="Calibri"/>
        <family val="2"/>
      </rPr>
      <t xml:space="preserve"> 'Quantities WS - 1.02 Restoration of land' quantity
</t>
    </r>
    <r>
      <rPr>
        <i/>
        <u/>
        <sz val="9"/>
        <color theme="1"/>
        <rFont val="Calibri"/>
        <family val="2"/>
      </rPr>
      <t>And</t>
    </r>
    <r>
      <rPr>
        <i/>
        <sz val="9"/>
        <color theme="1"/>
        <rFont val="Calibri"/>
        <family val="2"/>
      </rPr>
      <t xml:space="preserve"> 15% of the entered hectares used to determine:
</t>
    </r>
    <r>
      <rPr>
        <i/>
        <sz val="9"/>
        <color theme="1"/>
        <rFont val="Symbol"/>
        <family val="1"/>
        <charset val="2"/>
      </rPr>
      <t>·</t>
    </r>
    <r>
      <rPr>
        <i/>
        <sz val="9"/>
        <color theme="1"/>
        <rFont val="Calibri"/>
        <family val="2"/>
      </rPr>
      <t xml:space="preserve"> 'Quantities WS - 1.03 Placement of salvaged topsoil and/or organics' volume at 0.15 m thickness
</t>
    </r>
    <r>
      <rPr>
        <i/>
        <sz val="9"/>
        <color theme="1"/>
        <rFont val="Symbol"/>
        <family val="1"/>
        <charset val="2"/>
      </rPr>
      <t>·</t>
    </r>
    <r>
      <rPr>
        <i/>
        <sz val="9"/>
        <color theme="1"/>
        <rFont val="Calibri"/>
        <family val="2"/>
      </rPr>
      <t xml:space="preserve"> 'Quantities WS - 1.04 Application of fertilizer' area
</t>
    </r>
    <r>
      <rPr>
        <i/>
        <sz val="9"/>
        <color theme="1"/>
        <rFont val="Symbol"/>
        <family val="1"/>
        <charset val="2"/>
      </rPr>
      <t>·</t>
    </r>
    <r>
      <rPr>
        <i/>
        <sz val="9"/>
        <color theme="1"/>
        <rFont val="Calibri"/>
        <family val="2"/>
      </rPr>
      <t xml:space="preserve"> 'Quantities WS - 1.05 Seeding/ planting' area
</t>
    </r>
  </si>
  <si>
    <t>Land Restoration</t>
  </si>
  <si>
    <t>Enter number of Post-Closure Monitoring years</t>
  </si>
  <si>
    <t xml:space="preserve">Direct Cost Contingency for the closure and reclamation work
</t>
  </si>
  <si>
    <t>Detailed Closure and Reclamation Plan (Engineering, Research)</t>
  </si>
  <si>
    <r>
      <rPr>
        <b/>
        <u/>
        <sz val="10"/>
        <color theme="1"/>
        <rFont val="Calibri"/>
        <family val="2"/>
      </rPr>
      <t>QUANTITY:</t>
    </r>
    <r>
      <rPr>
        <b/>
        <sz val="10"/>
        <color theme="1"/>
        <rFont val="Calibri"/>
        <family val="2"/>
      </rPr>
      <t xml:space="preserve">
What is the total square meter footprint of all camp and other buildings to be constructed/ installed for your operations?</t>
    </r>
    <r>
      <rPr>
        <b/>
        <vertAlign val="superscript"/>
        <sz val="10"/>
        <color theme="1"/>
        <rFont val="Calibri"/>
        <family val="2"/>
      </rPr>
      <t xml:space="preserve">
</t>
    </r>
    <r>
      <rPr>
        <b/>
        <sz val="10"/>
        <color theme="1"/>
        <rFont val="Calibri"/>
        <family val="2"/>
      </rPr>
      <t xml:space="preserve">
</t>
    </r>
    <r>
      <rPr>
        <i/>
        <sz val="9"/>
        <color theme="1"/>
        <rFont val="Calibri"/>
        <family val="2"/>
      </rPr>
      <t>Enter "0" if there are no camp buildlings.
The footprint area of the buildings is used to estimate labour time required to dismantle the buildings. Building include, e.g.:
• canvas wall, wooden floor tents
• mobile sleigh camps
• modular trailer camps
• wood framed buildings
• metal framed buildings
The Tool assumes that the buildings are not salvageable and that abandoned camp building materials are all transferred off-site. This includes off-site transfer of  including wood, for the following reasons:
• painted wood cannot be burnt
• it is difficult to separate wood and non-wood
• there are open burning restrictions</t>
    </r>
  </si>
  <si>
    <r>
      <rPr>
        <b/>
        <u/>
        <sz val="10"/>
        <color theme="1"/>
        <rFont val="Calibri"/>
        <family val="2"/>
      </rPr>
      <t>QUANTITY:</t>
    </r>
    <r>
      <rPr>
        <b/>
        <sz val="10"/>
        <color theme="1"/>
        <rFont val="Calibri"/>
        <family val="2"/>
      </rPr>
      <t xml:space="preserve">
</t>
    </r>
    <r>
      <rPr>
        <b/>
        <sz val="10"/>
        <rFont val="Calibri"/>
        <family val="2"/>
      </rPr>
      <t xml:space="preserve">What is the total tonnage (weight) of the camp and other buildings above?
</t>
    </r>
    <r>
      <rPr>
        <i/>
        <sz val="9"/>
        <color theme="1"/>
        <rFont val="Calibri"/>
        <family val="2"/>
      </rPr>
      <t xml:space="preserve">
Enter "0" if there are no camp buildlings.
The total weight of the buildings should be available to the applicant, for example in their mobilization plan (typically in an applicant's project description) or understood internally in an applicant's mobilization budget.
An example of a typical remote camp building and weight is:
• A 14’x 16’ canvased metal frame tent weighs approximately 0.68 tonnes (680 kg or 1,500 lbs, including furniture and appliances but not lumber for floors).
The tonnage is used to estimate the removal (demobilization) costs (by weight) of the abandoned buildings from the site to the support city, as well as the shipping and final disposal costs.
</t>
    </r>
  </si>
  <si>
    <r>
      <rPr>
        <b/>
        <u/>
        <sz val="10"/>
        <color theme="1"/>
        <rFont val="Calibri"/>
        <family val="2"/>
      </rPr>
      <t>QUANTITY:</t>
    </r>
    <r>
      <rPr>
        <b/>
        <sz val="10"/>
        <color theme="1"/>
        <rFont val="Calibri"/>
        <family val="2"/>
      </rPr>
      <t xml:space="preserve">
How many kilometers of winter road or trail are to be constructed (to the nearest decimal point)?
</t>
    </r>
    <r>
      <rPr>
        <i/>
        <sz val="9"/>
        <color theme="1"/>
        <rFont val="Calibri"/>
        <family val="2"/>
      </rPr>
      <t xml:space="preserve">Enter "0" if the project does not involve winter road or trail construction.
The distance is used to calculate the total winter road or trail construction cost (using rates in $/km).
</t>
    </r>
  </si>
  <si>
    <r>
      <rPr>
        <b/>
        <u/>
        <sz val="10"/>
        <color theme="1"/>
        <rFont val="Calibri"/>
        <family val="2"/>
      </rPr>
      <t>QUANTITY:</t>
    </r>
    <r>
      <rPr>
        <b/>
        <sz val="10"/>
        <color theme="1"/>
        <rFont val="Calibri"/>
        <family val="2"/>
      </rPr>
      <t xml:space="preserve">
How many fuel barrels (i.e., 45-gallon drums) will be mobilized to the site for your operations?
</t>
    </r>
    <r>
      <rPr>
        <i/>
        <sz val="9"/>
        <color theme="1"/>
        <rFont val="Calibri"/>
        <family val="2"/>
      </rPr>
      <t xml:space="preserve">Enter "0" for no barrels.
The handling of abandoned fuel barrels is a common component of many closure and reclamation projects.  The number of barrels is used in the Tool to estimate labour time, for draining residual fuel and consolidating and cleaning the barrels.  The number is also used to calculate the weight of empty barrels for estimating their off-site removal and final disposal costs. 
</t>
    </r>
  </si>
  <si>
    <r>
      <rPr>
        <b/>
        <u/>
        <sz val="10"/>
        <color theme="1"/>
        <rFont val="Calibri"/>
        <family val="2"/>
      </rPr>
      <t>YES or NO:</t>
    </r>
    <r>
      <rPr>
        <b/>
        <sz val="10"/>
        <color theme="1"/>
        <rFont val="Calibri"/>
        <family val="2"/>
      </rPr>
      <t xml:space="preserve">
Are there potential environmental impacts  to land stability or permafrost that are likely to require geotechnical monitoring if the site were abandoned?
</t>
    </r>
    <r>
      <rPr>
        <i/>
        <sz val="9"/>
        <color theme="1"/>
        <rFont val="Calibri"/>
        <family val="2"/>
      </rPr>
      <t xml:space="preserve">For most small and limited footprint land use operations, instability of reclaimed areas is not expected. The impact would be described in the applicant’s permit Application Form item 17 Potential Environmental Impacts.  Examples of instability of reclaimed areas include a landfill or erosion of reclaimed disturbed areas.  If it's known during the application stage that there will be geotechncial inspections during operations, the applicant should answer “Yes” here.
An Input of ‘Yes’ triggers a cost for geotechnical monitoring as part of the interim care and maintenance phase (i.e., the period of time after the site has been abandoned and before closure and reclamation activities have been initiated).
The Tool uses a default cost for the geotechnical monitoring based on similar type projects. Alternatively, the user can enter a project-specific unit rate in the Project-Specific Cost worksheet (Item C).
</t>
    </r>
  </si>
  <si>
    <r>
      <rPr>
        <b/>
        <u/>
        <sz val="10"/>
        <color theme="1"/>
        <rFont val="Calibri"/>
        <family val="2"/>
      </rPr>
      <t>YES or NO:</t>
    </r>
    <r>
      <rPr>
        <b/>
        <sz val="10"/>
        <color theme="1"/>
        <rFont val="Calibri"/>
        <family val="2"/>
      </rPr>
      <t xml:space="preserve">
Will a detailed Closure and Reclamation Plan (CRP) at the end of the life of the project?
</t>
    </r>
    <r>
      <rPr>
        <i/>
        <sz val="9"/>
        <color theme="1"/>
        <rFont val="Calibri"/>
        <family val="2"/>
      </rPr>
      <t>Applicants are required to provide a CRP with the Land Use Permit Application, or for small-scale projects, a description of the proposed closure activities. This information is reviewed by the Board.  If there is reasonable certainty in the CRP and no additional technical or further design requirements are expected, significant costs for a detailed CRP would not be expected. In this case, enter “No”.
Enter “Yes” for large or complex projects, projects where there is significant uncertainty regarding closure, or projects where additional design is required.  An Input of ‘Yes’ triggers costs for developing of a detailed CRP.  The Tool uses default costs for developing a detailed Closure and Reclamation Plan.  Alternatively, the user can enter a project-specific unit rate in the Project-Specific Cost worksheet (Item G).</t>
    </r>
  </si>
  <si>
    <t xml:space="preserve">The overlapping security is subtracted from the Total Security Estimate
</t>
  </si>
  <si>
    <t>Information Source</t>
  </si>
  <si>
    <r>
      <rPr>
        <b/>
        <u/>
        <sz val="10"/>
        <color theme="1"/>
        <rFont val="Calibri"/>
        <family val="2"/>
      </rPr>
      <t>QUANTITY</t>
    </r>
    <r>
      <rPr>
        <b/>
        <sz val="10"/>
        <color theme="1"/>
        <rFont val="Calibri"/>
        <family val="2"/>
      </rPr>
      <t xml:space="preserve">
Enter total amount of overlapping security, and list associated authorizations (e.g., land lease) in the Applicant's Rationale for Answer (column I)
</t>
    </r>
    <r>
      <rPr>
        <i/>
        <sz val="9"/>
        <color theme="1"/>
        <rFont val="Calibri"/>
        <family val="2"/>
      </rPr>
      <t xml:space="preserve">Enter "0" for no securities.
The Tool allows the user to subtract securities already held under other instruments (e.g., land access agreements, land leases, etc.) to avoid double counting. These securities must clearly duplicate the land use permit security, for example they must explicitly be for closure and reclamation of the site. The proponent must provide supporting documentation.
Proof of Financial Responsibility (PFR) held by the Office of the Regulator of Oil and Gas Operations (OROGO) is for a different purpose than the security deposits required by the Land and Water Boards. PFR held by the Regulator is in the event of a hypothetical scenario that occurs where a spill or debris is not satisfactorily addressed by the operator and causes loss, damage or costs and expenses for clean-up. In contrast, the security amount estimated by this Tool is based on the estimated costs of closure and reclamation. Therefore the PFR should not be identified as an “overapping security” to be subtracted from the total.
 </t>
    </r>
    <r>
      <rPr>
        <b/>
        <i/>
        <sz val="9"/>
        <color theme="1"/>
        <rFont val="Calibri"/>
        <family val="2"/>
      </rPr>
      <t xml:space="preserve">
</t>
    </r>
    <r>
      <rPr>
        <i/>
        <sz val="9"/>
        <color theme="1"/>
        <rFont val="Calibri"/>
        <family val="2"/>
      </rPr>
      <t xml:space="preserve">Similarly, for wood cutting operations, do not enter forestry levies required by Timber Cutting permits or licences in response to this question. The overlap between land use permit security and forestry levies is already addressed by subtracting out the area of cutblocks in Question 4. </t>
    </r>
  </si>
  <si>
    <r>
      <rPr>
        <b/>
        <u/>
        <sz val="10"/>
        <color theme="1"/>
        <rFont val="Calibri"/>
        <family val="2"/>
      </rPr>
      <t>QUANTITY:</t>
    </r>
    <r>
      <rPr>
        <b/>
        <sz val="10"/>
        <color theme="1"/>
        <rFont val="Calibri"/>
        <family val="2"/>
      </rPr>
      <t xml:space="preserve">
How many pieces (total number) of machinery/ equipment are to be mobilized to the site for your operations?
</t>
    </r>
    <r>
      <rPr>
        <i/>
        <sz val="9"/>
        <color theme="1"/>
        <rFont val="Calibri"/>
        <family val="2"/>
      </rPr>
      <t xml:space="preserve">Enter "0" if no equpiment will be brought on-site.
The number of pieces of equipment is used to estimate the labour time required to prepare/ consolidate/ dismantle abandoned equipment for removal from the site. This includes draining hazardous fluids and breaking down the equipment to meet demobilization load restrictions.
It is recognized that not all of the equipment that is listed in the Land Use Permit Application Form will necessarily be on site throughout the life of the operation.  However, the total number of individual pieces of equipment is used to represent the highest potential total liability.
</t>
    </r>
  </si>
  <si>
    <r>
      <rPr>
        <b/>
        <u/>
        <sz val="10"/>
        <color theme="1"/>
        <rFont val="Calibri"/>
        <family val="2"/>
      </rPr>
      <t>QUANTITY:</t>
    </r>
    <r>
      <rPr>
        <b/>
        <sz val="10"/>
        <color theme="1"/>
        <rFont val="Calibri"/>
        <family val="2"/>
      </rPr>
      <t xml:space="preserve">
What is the total weight (in tonnes) of machinery/ equipment to be mobilized for operations?
</t>
    </r>
    <r>
      <rPr>
        <i/>
        <sz val="9"/>
        <color theme="1"/>
        <rFont val="Calibri"/>
        <family val="2"/>
      </rPr>
      <t xml:space="preserve">Enter "0" if no equpiment will be brought on-site.
The total weight should match the weight entered in Item 12 of the Land Use Permit Application Form.
The tonnage is used to estimate the cost of hauling heavy equipment from the site to the support city, as well as the final disposal costs from the support city.
It is recognized that not all of the equipment listed in the Land Use Permit Application Form will necessarily be on site throughout the life of the operation.  However, the weight of the total number of individual pieces of equipment represents the highest potential total liability.
</t>
    </r>
  </si>
  <si>
    <r>
      <rPr>
        <b/>
        <u/>
        <sz val="10"/>
        <color theme="1"/>
        <rFont val="Calibri"/>
        <family val="2"/>
      </rPr>
      <t>YES or NO:</t>
    </r>
    <r>
      <rPr>
        <b/>
        <sz val="10"/>
        <color theme="1"/>
        <rFont val="Calibri"/>
        <family val="2"/>
      </rPr>
      <t xml:space="preserve">
Are there potential environmental impacts to surface water that are likely to require monitoring if the site were abandoned?
</t>
    </r>
    <r>
      <rPr>
        <sz val="10"/>
        <color theme="1"/>
        <rFont val="Calibri"/>
        <family val="2"/>
      </rPr>
      <t xml:space="preserve">
</t>
    </r>
    <r>
      <rPr>
        <i/>
        <sz val="9"/>
        <color theme="1"/>
        <rFont val="Calibri"/>
        <family val="2"/>
      </rPr>
      <t xml:space="preserve">For most small and limited footprint operations, environmental impacts to surface water that would necessitate monitoring are not expected.  The impacts would be described in Item 17 of the Application (Potential Environmental Impacts).  Examples of water impacts include acid rock drainage, hydrocarbon contamination, or activities in a water body.  If its known during the application stage that there will be water quality monitoring during operations, the applicant should answer “Yes” here.
If the answer is ‘Yes’, the Tool includes a cost for water monitoring as part of the interim care and maintenance phase (i.e., the period of time after the site has been abandoned and before closure and reclamation activities have been initiated).
The Tool uses a default cost for the surface water quality/ acid rock drainage (ARD) monitoring.  Alternatively, the user can enter a project-specific unit rate in the Project-Specific Cost worksheet (Item D).
</t>
    </r>
  </si>
  <si>
    <r>
      <rPr>
        <b/>
        <u/>
        <sz val="9"/>
        <color theme="1"/>
        <rFont val="Calibri"/>
        <family val="2"/>
      </rPr>
      <t xml:space="preserve">QUANTITY:
</t>
    </r>
    <r>
      <rPr>
        <b/>
        <sz val="9"/>
        <color theme="1"/>
        <rFont val="Calibri"/>
        <family val="2"/>
      </rPr>
      <t xml:space="preserve">How many hectares will be used over the life of the project?
</t>
    </r>
    <r>
      <rPr>
        <i/>
        <sz val="9"/>
        <color theme="1"/>
        <rFont val="Calibri"/>
        <family val="2"/>
      </rPr>
      <t xml:space="preserve">
This quantity should reflect the actual footprint of project activities rather than entire project boundary. It should be the same number entered in Section 8 (Project Description) of the Application Form, as described in the Guide to the LUP Process.
For projects that require heavy equipment to restore land, the number of hectares is used to estimate:
• bulldozer time to bulk shape and re-grade disturbed areas;
• excavator and truck time (using 15% of the footprint to account for target disturbed areas) to dig, restore, cover, and revegetate disturbed areas;
• labour time to pick-up and consolidate debris &amp; waste materials across the used land.
For projects that do not require heavy equipment, the number of hectares is used to estimate:
• labour time to pick-up and consolidate debris &amp; waste materials, including restoration of minor disturbed work areas (shovel dig and fill).
Applicants for land use permits for wood cutting operations that also hold a Timber Cutting Permit or Licence should not include the area of cut-blocks. This will prevent duplication between land use permit security and forestry levies.</t>
    </r>
  </si>
  <si>
    <r>
      <rPr>
        <b/>
        <u/>
        <sz val="10"/>
        <color theme="1"/>
        <rFont val="Calibri"/>
        <family val="2"/>
      </rPr>
      <t>QUANTITY:</t>
    </r>
    <r>
      <rPr>
        <b/>
        <sz val="10"/>
        <color theme="1"/>
        <rFont val="Calibri"/>
        <family val="2"/>
      </rPr>
      <t xml:space="preserve">
</t>
    </r>
    <r>
      <rPr>
        <b/>
        <sz val="10"/>
        <rFont val="Calibri"/>
        <family val="2"/>
      </rPr>
      <t xml:space="preserve">How many kilometers is your project site from the closest support city?
</t>
    </r>
    <r>
      <rPr>
        <sz val="10"/>
        <rFont val="Calibri"/>
        <family val="2"/>
      </rPr>
      <t xml:space="preserve">i.e., city with airbase and land access for transport of waste for disposal
</t>
    </r>
    <r>
      <rPr>
        <b/>
        <sz val="10"/>
        <color theme="1"/>
        <rFont val="Calibri"/>
        <family val="2"/>
      </rPr>
      <t xml:space="preserve">
</t>
    </r>
    <r>
      <rPr>
        <i/>
        <sz val="9"/>
        <color theme="1"/>
        <rFont val="Calibri"/>
        <family val="2"/>
      </rPr>
      <t xml:space="preserve">Appropriate support cities include:
</t>
    </r>
    <r>
      <rPr>
        <sz val="9"/>
        <color theme="1"/>
        <rFont val="Symbol"/>
        <family val="1"/>
        <charset val="2"/>
      </rPr>
      <t>·</t>
    </r>
    <r>
      <rPr>
        <i/>
        <sz val="9"/>
        <color theme="1"/>
        <rFont val="Calibri"/>
        <family val="2"/>
      </rPr>
      <t xml:space="preserve"> Fort Simpson
</t>
    </r>
    <r>
      <rPr>
        <sz val="9"/>
        <color theme="1"/>
        <rFont val="Symbol"/>
        <family val="1"/>
        <charset val="2"/>
      </rPr>
      <t>·</t>
    </r>
    <r>
      <rPr>
        <i/>
        <sz val="9"/>
        <color theme="1"/>
        <rFont val="Calibri"/>
        <family val="2"/>
      </rPr>
      <t xml:space="preserve"> Hay River
</t>
    </r>
    <r>
      <rPr>
        <sz val="9"/>
        <color theme="1"/>
        <rFont val="Symbol"/>
        <family val="1"/>
        <charset val="2"/>
      </rPr>
      <t>·</t>
    </r>
    <r>
      <rPr>
        <i/>
        <sz val="9"/>
        <color theme="1"/>
        <rFont val="Calibri"/>
        <family val="2"/>
      </rPr>
      <t xml:space="preserve"> Inuvik
</t>
    </r>
    <r>
      <rPr>
        <sz val="9"/>
        <color theme="1"/>
        <rFont val="Symbol"/>
        <family val="1"/>
        <charset val="2"/>
      </rPr>
      <t>·</t>
    </r>
    <r>
      <rPr>
        <i/>
        <sz val="9"/>
        <color theme="1"/>
        <rFont val="Calibri"/>
        <family val="2"/>
      </rPr>
      <t xml:space="preserve"> Norman Wells
</t>
    </r>
    <r>
      <rPr>
        <sz val="9"/>
        <color theme="1"/>
        <rFont val="Symbol"/>
        <family val="1"/>
        <charset val="2"/>
      </rPr>
      <t>·</t>
    </r>
    <r>
      <rPr>
        <i/>
        <sz val="9"/>
        <color theme="1"/>
        <rFont val="Calibri"/>
        <family val="2"/>
      </rPr>
      <t xml:space="preserve"> Yellowknife
The distance is used to calculate air/ land mobilization costs and demobilization costs. The distance (in km) should be provided as a straight line distance since it is used to estimate travel time for aircraft, and is reasonably approximate for estimating overland travel time (for land access locations).</t>
    </r>
  </si>
  <si>
    <r>
      <rPr>
        <b/>
        <u/>
        <sz val="10"/>
        <color theme="1"/>
        <rFont val="Calibri"/>
        <family val="2"/>
      </rPr>
      <t>YES or NO:</t>
    </r>
    <r>
      <rPr>
        <b/>
        <sz val="10"/>
        <color theme="1"/>
        <rFont val="Calibri"/>
        <family val="2"/>
      </rPr>
      <t xml:space="preserve">
Is the location of your project area accessible by land?
</t>
    </r>
    <r>
      <rPr>
        <sz val="10"/>
        <color theme="1"/>
        <rFont val="Symbol"/>
        <family val="1"/>
        <charset val="2"/>
      </rPr>
      <t>·</t>
    </r>
    <r>
      <rPr>
        <sz val="10"/>
        <color theme="1"/>
        <rFont val="Calibri"/>
        <family val="2"/>
      </rPr>
      <t xml:space="preserve"> Yes - All-Season Road
</t>
    </r>
    <r>
      <rPr>
        <sz val="10"/>
        <color theme="1"/>
        <rFont val="Symbol"/>
        <family val="1"/>
        <charset val="2"/>
      </rPr>
      <t>·</t>
    </r>
    <r>
      <rPr>
        <sz val="10"/>
        <color theme="1"/>
        <rFont val="Calibri"/>
        <family val="2"/>
      </rPr>
      <t xml:space="preserve"> Yes - Winter Road
</t>
    </r>
    <r>
      <rPr>
        <sz val="10"/>
        <color theme="1"/>
        <rFont val="Symbol"/>
        <family val="1"/>
        <charset val="2"/>
      </rPr>
      <t>·</t>
    </r>
    <r>
      <rPr>
        <sz val="10"/>
        <color theme="1"/>
        <rFont val="Calibri"/>
        <family val="2"/>
      </rPr>
      <t xml:space="preserve"> No
</t>
    </r>
    <r>
      <rPr>
        <b/>
        <sz val="10"/>
        <color theme="1"/>
        <rFont val="Calibri"/>
        <family val="2"/>
      </rPr>
      <t xml:space="preserve">
</t>
    </r>
    <r>
      <rPr>
        <i/>
        <sz val="9"/>
        <color theme="1"/>
        <rFont val="Calibri"/>
        <family val="2"/>
      </rPr>
      <t>Enter “Yes” if your project is accessible by an all-season road or winter road/ winter trail, and “No” if your project is only accessible by air or barge. For land accessible locations, the costs for demobilizing the abandoned equipment and wastes are based on transport trailer hauling rates.  The cost for winter road construction, if required, is calculated separately from demobilization. Note that winter road construction may trigger a Water Licence, in which case, RECLAIM is the preferred tool for estimating the closure cost.  Please contact Board staff if you are unsure whether your winter road construction triggers a Water Licence.
For site locations that are accessible by 'all-season road', the Tool assumes it is near a local community and that most (75%) of equipment and materials will be removed by the operator in the event of an unplanned closure or abandonment. 
If there is no land access, the Tool assumes air-access by fixed-wing aircraft for demobilizing the abandoned equipment and wastes.
If your project uses another primary method for location access (e.g. helicopter-only or barge), enter “No” and use the Project-Specific Cost worksheet (Item A) to enter a project-specific unit rate.</t>
    </r>
  </si>
  <si>
    <r>
      <rPr>
        <b/>
        <u/>
        <sz val="10"/>
        <color theme="1"/>
        <rFont val="Calibri"/>
        <family val="2"/>
      </rPr>
      <t>YES or NO:</t>
    </r>
    <r>
      <rPr>
        <b/>
        <sz val="10"/>
        <color theme="1"/>
        <rFont val="Calibri"/>
        <family val="2"/>
      </rPr>
      <t xml:space="preserve">
Will heavy equipment be required at closure for restoration of land?
</t>
    </r>
    <r>
      <rPr>
        <i/>
        <sz val="9"/>
        <color theme="1"/>
        <rFont val="Calibri"/>
        <family val="2"/>
      </rPr>
      <t xml:space="preserve">If your project will be using heavy equipment for earthworks in your operations (as indicated on the Application), it is expected that heavy equipment will be required at closure to restore disturbed work areas.
Examples of disturbed work areas (constructed by heavy equipment) that would require heavy equipment:
• large fuel storage containment cells &amp; containment berms
• earth moving or land clearing excavations, stockpiles, quarries &amp; drainage channels
• access roads &amp; airstrips
• large areas where topsoil or vegetation was removed
• building foundations and demolition of large buildings
• underground portals 
Typically, mobilization of heavy equipment is not required for the following: 
• seismic lines
• drill pads (unless vegetation or topsoil was removed with machinery)
• camp pads, camp sumps, camp drainage areas
• laydown area pads
• skidder trails
• small areas where topsoil, vegetation, or trees were removed by hand
</t>
    </r>
  </si>
  <si>
    <t>From 2020 MVLWB Guide:
→ 3.2 - 10. Indicate whether a road or access is to be pioneered (i.e. built for the first time) and whether it has been laid out or ground-truthed. Describe the route, construction, and maintenance of any new or existing road.
From the 2017 GNWT "Northern Land Use Guidelines - Access: Roads and Trails":
→ a 'Winter Trail' is described as established by a single pass of a tracked vehicle (potentially using a blade).</t>
  </si>
  <si>
    <r>
      <t xml:space="preserve">YES or NO:
Is a project-dedicated winter road or trail to be constructed for your land use operations?
</t>
    </r>
    <r>
      <rPr>
        <sz val="10"/>
        <color theme="1"/>
        <rFont val="Symbol"/>
        <family val="1"/>
        <charset val="2"/>
      </rPr>
      <t>·</t>
    </r>
    <r>
      <rPr>
        <sz val="10"/>
        <color theme="1"/>
        <rFont val="Calibri"/>
        <family val="2"/>
      </rPr>
      <t xml:space="preserve"> Yes - Winter Trail
</t>
    </r>
    <r>
      <rPr>
        <sz val="10"/>
        <color theme="1"/>
        <rFont val="Symbol"/>
        <family val="1"/>
        <charset val="2"/>
      </rPr>
      <t>·</t>
    </r>
    <r>
      <rPr>
        <sz val="10"/>
        <color theme="1"/>
        <rFont val="Calibri"/>
        <family val="2"/>
      </rPr>
      <t xml:space="preserve"> Yes - Winter Ice Road
</t>
    </r>
    <r>
      <rPr>
        <sz val="10"/>
        <color theme="1"/>
        <rFont val="Symbol"/>
        <family val="1"/>
        <charset val="2"/>
      </rPr>
      <t>·</t>
    </r>
    <r>
      <rPr>
        <sz val="10"/>
        <color theme="1"/>
        <rFont val="Calibri"/>
        <family val="2"/>
      </rPr>
      <t xml:space="preserve"> No
</t>
    </r>
    <r>
      <rPr>
        <i/>
        <sz val="9"/>
        <color theme="1"/>
        <rFont val="Calibri"/>
        <family val="2"/>
      </rPr>
      <t xml:space="preserve">
If a winter road or trail is to be constructed for the project (e.g., to mobilize equipment, materials or supplies), it is expected that closure and reclamation will require an equivalent winter road or trail for demobilization.
The Tool uses a lower 'winter trail' construction rate, based on typical land use operations.  
A higher construction rate is applied for winter ice roads that require more intensive construction activities, i.e.;
• construction is required across a water body,
• water will be used to build up ice, or
• compacted snow and ice are required for access,
If the unit rates for winter trail or winter ice road construction (as shown in the Unit Rates worksheet) are not appropriate for your site, or if neither construction classifications are appropriate, use the Project-Specific Cost sheet to enter a project-specific unit rate for winter access (Item B).</t>
    </r>
  </si>
  <si>
    <r>
      <t xml:space="preserve">Answer is used as: 'Quantities WS - 3.01 Preparation of fuel barrels and fuel containers'
To estimate volume of contaminated soil: 'Quantities WS - 3.03 Soil Remediation'
As contam.soil component of:
</t>
    </r>
    <r>
      <rPr>
        <i/>
        <sz val="9"/>
        <color theme="1"/>
        <rFont val="Symbol"/>
        <family val="1"/>
        <charset val="2"/>
      </rPr>
      <t>·</t>
    </r>
    <r>
      <rPr>
        <i/>
        <sz val="9"/>
        <color theme="1"/>
        <rFont val="Calibri"/>
        <family val="2"/>
      </rPr>
      <t xml:space="preserve"> 'Quantities WS - 3.04 Transport of Solid Hazardous wastes South'
</t>
    </r>
    <r>
      <rPr>
        <i/>
        <sz val="9"/>
        <color theme="1"/>
        <rFont val="Symbol"/>
        <family val="1"/>
        <charset val="2"/>
      </rPr>
      <t>·</t>
    </r>
    <r>
      <rPr>
        <i/>
        <sz val="9"/>
        <color theme="1"/>
        <rFont val="Calibri"/>
        <family val="2"/>
      </rPr>
      <t xml:space="preserve"> 'Quantities WS - 3.07 Tipping fees - contaminated soil'
</t>
    </r>
    <r>
      <rPr>
        <i/>
        <sz val="9"/>
        <color theme="1"/>
        <rFont val="Symbol"/>
        <family val="1"/>
        <charset val="2"/>
      </rPr>
      <t>·</t>
    </r>
    <r>
      <rPr>
        <i/>
        <sz val="9"/>
        <color theme="1"/>
        <rFont val="Calibri"/>
        <family val="2"/>
      </rPr>
      <t xml:space="preserve"> 'Quantities WS - 5.16 Demob'
10% of the entered volume as:
</t>
    </r>
    <r>
      <rPr>
        <i/>
        <sz val="9"/>
        <color theme="1"/>
        <rFont val="Symbol"/>
        <family val="1"/>
        <charset val="2"/>
      </rPr>
      <t>·</t>
    </r>
    <r>
      <rPr>
        <i/>
        <sz val="9"/>
        <color theme="1"/>
        <rFont val="Calibri"/>
        <family val="2"/>
      </rPr>
      <t xml:space="preserve"> 'Quantities WS - 3.05 Transport of Liquid Hazardous wastes South'
</t>
    </r>
    <r>
      <rPr>
        <i/>
        <sz val="9"/>
        <color theme="1"/>
        <rFont val="Symbol"/>
        <family val="1"/>
        <charset val="2"/>
      </rPr>
      <t>·</t>
    </r>
    <r>
      <rPr>
        <i/>
        <sz val="9"/>
        <color theme="1"/>
        <rFont val="Calibri"/>
        <family val="2"/>
      </rPr>
      <t xml:space="preserve"> 'Quantities WS - 3.08 Tipping fees - liquid hazmat'
</t>
    </r>
    <r>
      <rPr>
        <i/>
        <sz val="9"/>
        <color theme="1"/>
        <rFont val="Symbol"/>
        <family val="1"/>
        <charset val="2"/>
      </rPr>
      <t>·</t>
    </r>
    <r>
      <rPr>
        <i/>
        <sz val="9"/>
        <color theme="1"/>
        <rFont val="Calibri"/>
        <family val="2"/>
      </rPr>
      <t xml:space="preserve"> liquid waste component of 'Quantities WS - 5.16 Demob'</t>
    </r>
  </si>
  <si>
    <r>
      <rPr>
        <b/>
        <u/>
        <sz val="10"/>
        <color theme="1"/>
        <rFont val="Calibri"/>
        <family val="2"/>
      </rPr>
      <t>QUANTITY:</t>
    </r>
    <r>
      <rPr>
        <b/>
        <sz val="10"/>
        <color theme="1"/>
        <rFont val="Calibri"/>
        <family val="2"/>
      </rPr>
      <t xml:space="preserve">
What is the total volume (in litres) of fuel that will be on the site at any one time?
</t>
    </r>
    <r>
      <rPr>
        <i/>
        <sz val="9"/>
        <color theme="1"/>
        <rFont val="Calibri"/>
        <family val="2"/>
      </rPr>
      <t>The total fuel volume is used to estimate a residual amount of waste fuel that will require removal and disposal.  It is also used to estimate a volume of impacted soil around the fuel transfer areas (i.e., minor spills) to be cleaned, removed off-site and disposed.
Note: It is not the total volume of fuel that is used in closure cost estimate; only a residual quantity calculated as a percentage of the total.</t>
    </r>
  </si>
  <si>
    <t>From 2020 MVLWB Guide:
→ 3.2 - 13. The information provided should reflect the maximum volumes that may be on the site at any one time, since it will be used to set maximum allowable volumes for fuel storage in a standard permit condition.</t>
  </si>
  <si>
    <r>
      <rPr>
        <b/>
        <sz val="10"/>
        <color theme="1"/>
        <rFont val="Calibri"/>
        <family val="2"/>
      </rPr>
      <t xml:space="preserve">Instructions: </t>
    </r>
    <r>
      <rPr>
        <sz val="10"/>
        <color theme="1"/>
        <rFont val="Calibri"/>
        <family val="2"/>
      </rPr>
      <t>For each question, enter your answer into the yellow squares in column "E". The questions are organized according to the Mackenzie Valley Land and Water Board Land Use Permit Application Form.  An estimate of closure costs will be calculated from your answers. The precision of the information in the application will reflect directly on the closure cost estimate. The Project-Specific Costs sheet is only required for in some scenarios, as described in the Support Manual. The other worksheets in this Tool do not need to be filled out. The Closure Cost worksheet shows the breakout of costs by reclamation activity and the Quantity, Activity Rate and Unit Rate worksheets show how the information to the Costing Questions are used to calculate the closure costs.  The Support Manual has additional information about the Tool.</t>
    </r>
  </si>
  <si>
    <t>Project Name</t>
  </si>
  <si>
    <t>YYYY-MM-DD</t>
  </si>
  <si>
    <t xml:space="preserve">Instructions:
Project-Specific rates and costs can be entered and developed in this sheet.  Enter the requested input into the yellow squares in column "G".  Please read the Support Manual to help with the basis of assumptions for the individual cost items.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</si>
</sst>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64" formatCode="&quot;$&quot;#,##0.00;\-&quot;$&quot;#,##0.00"/>
    <numFmt numFmtId="165" formatCode="_-&quot;$&quot;* #,##0.00_-;\-&quot;$&quot;* #,##0.00_-;_-&quot;$&quot;* &quot;-&quot;??_-;_-@_-"/>
    <numFmt numFmtId="166" formatCode="#,##0.##"/>
    <numFmt numFmtId="167" formatCode="[$-F800]dddd\,\ mmmm\ dd\,\ yyyy"/>
    <numFmt numFmtId="168" formatCode="#,##0.###"/>
    <numFmt numFmtId="169" formatCode="#,##0.###\ &quot;ha&quot;"/>
    <numFmt numFmtId="170" formatCode="#,##0.###\ &quot;sq.m&quot;"/>
    <numFmt numFmtId="171" formatCode="#,##0.###\ &quot;L&quot;"/>
    <numFmt numFmtId="172" formatCode="#,##0.###\ &quot;cu.m&quot;"/>
    <numFmt numFmtId="173" formatCode="#,##0.###\ &quot;m&quot;"/>
    <numFmt numFmtId="174" formatCode="#,##0.###\ &quot;t&quot;"/>
    <numFmt numFmtId="175" formatCode="#,##0.###\ &quot;kg&quot;"/>
    <numFmt numFmtId="176" formatCode="#,##0.###\ &quot;kg/ha&quot;"/>
    <numFmt numFmtId="177" formatCode="#,##0.###\ &quot;km&quot;"/>
    <numFmt numFmtId="178" formatCode="#,##0.###\ &quot;$/ km-t&quot;"/>
    <numFmt numFmtId="179" formatCode="#,##0.###\ &quot;hr&quot;"/>
    <numFmt numFmtId="180" formatCode="#,##0.###\ &quot;sq.m/ d&quot;"/>
    <numFmt numFmtId="181" formatCode="#,##0.###\ &quot;ha/ d&quot;"/>
    <numFmt numFmtId="182" formatCode="#,##0.###\ &quot;km/ hr&quot;"/>
    <numFmt numFmtId="183" formatCode="#,##0.###\ &quot;$/ t&quot;"/>
    <numFmt numFmtId="184" formatCode="#,##0.000"/>
    <numFmt numFmtId="185" formatCode="#,##0.###\ &quot;persons&quot;"/>
    <numFmt numFmtId="186" formatCode="#,##0.###\ &quot;days&quot;"/>
    <numFmt numFmtId="187" formatCode="#,##0.###\ &quot;cu.m/ d&quot;"/>
    <numFmt numFmtId="188" formatCode="#,##0.###\ &quot;/ d&quot;"/>
    <numFmt numFmtId="189" formatCode="#,##0.###\ &quot;L/ d&quot;"/>
    <numFmt numFmtId="190" formatCode="#,##0.###\ &quot;d&quot;"/>
    <numFmt numFmtId="191" formatCode="#,##0.###\ &quot;t/ cu.m&quot;"/>
    <numFmt numFmtId="192" formatCode="#,##0.###\ &quot;t/ load&quot;"/>
    <numFmt numFmtId="193" formatCode="#,##0.###\ &quot;kg/ load&quot;"/>
    <numFmt numFmtId="194" formatCode="0.###%"/>
    <numFmt numFmtId="195" formatCode="#,##0.###\ &quot;$/ trip&quot;"/>
    <numFmt numFmtId="196" formatCode="&quot;#&quot;#,##0"/>
    <numFmt numFmtId="197" formatCode="#,##0.###\ &quot;ea.&quot;"/>
  </numFmts>
  <fonts count="38">
    <font>
      <sz val="10"/>
      <color theme="1"/>
      <name val="Calibri"/>
      <family val="2"/>
    </font>
    <font>
      <sz val="10"/>
      <name val="Arial"/>
      <family val="2"/>
    </font>
    <font>
      <sz val="11"/>
      <color theme="1"/>
      <name val="Calibri"/>
      <family val="2"/>
      <scheme val="minor"/>
    </font>
    <font>
      <sz val="10"/>
      <color theme="1"/>
      <name val="Calibri"/>
      <family val="2"/>
    </font>
    <font>
      <sz val="12"/>
      <color theme="1"/>
      <name val="Calibri"/>
      <family val="2"/>
    </font>
    <font>
      <sz val="9"/>
      <color theme="1"/>
      <name val="Calibri"/>
      <family val="2"/>
    </font>
    <font>
      <b/>
      <sz val="9"/>
      <color theme="1"/>
      <name val="Calibri"/>
      <family val="2"/>
    </font>
    <font>
      <u/>
      <sz val="10"/>
      <color theme="1"/>
      <name val="Calibri"/>
      <family val="2"/>
    </font>
    <font>
      <sz val="8"/>
      <name val="Calibri"/>
      <family val="2"/>
    </font>
    <font>
      <sz val="14"/>
      <color theme="1"/>
      <name val="Calibri"/>
      <family val="2"/>
    </font>
    <font>
      <sz val="9"/>
      <color indexed="81"/>
      <name val="Tahoma"/>
      <family val="2"/>
    </font>
    <font>
      <u/>
      <sz val="9"/>
      <color theme="1"/>
      <name val="Calibri"/>
      <family val="2"/>
    </font>
    <font>
      <sz val="9"/>
      <name val="Calibri"/>
      <family val="2"/>
    </font>
    <font>
      <sz val="9"/>
      <color theme="0" tint="-0.249977111117893"/>
      <name val="Calibri"/>
      <family val="2"/>
    </font>
    <font>
      <i/>
      <sz val="9"/>
      <color theme="0" tint="-0.249977111117893"/>
      <name val="Calibri"/>
      <family val="2"/>
    </font>
    <font>
      <i/>
      <sz val="9"/>
      <color theme="1"/>
      <name val="Calibri"/>
      <family val="2"/>
    </font>
    <font>
      <i/>
      <sz val="10"/>
      <color theme="1"/>
      <name val="Calibri"/>
      <family val="2"/>
    </font>
    <font>
      <u/>
      <sz val="10"/>
      <color theme="10"/>
      <name val="Calibri"/>
      <family val="2"/>
    </font>
    <font>
      <b/>
      <sz val="12"/>
      <color theme="1"/>
      <name val="Calibri"/>
      <family val="2"/>
    </font>
    <font>
      <b/>
      <sz val="10"/>
      <name val="Calibri"/>
      <family val="2"/>
    </font>
    <font>
      <b/>
      <sz val="10"/>
      <color theme="1"/>
      <name val="Calibri"/>
      <family val="2"/>
    </font>
    <font>
      <b/>
      <vertAlign val="superscript"/>
      <sz val="10"/>
      <color theme="1"/>
      <name val="Calibri"/>
      <family val="2"/>
    </font>
    <font>
      <sz val="9"/>
      <color theme="1"/>
      <name val="Symbol"/>
      <family val="1"/>
      <charset val="2"/>
    </font>
    <font>
      <b/>
      <sz val="10"/>
      <color theme="1"/>
      <name val="Calibri"/>
      <family val="2"/>
      <scheme val="minor"/>
    </font>
    <font>
      <b/>
      <u/>
      <sz val="10"/>
      <color theme="1"/>
      <name val="Calibri"/>
      <family val="2"/>
    </font>
    <font>
      <sz val="10"/>
      <color theme="1"/>
      <name val="Symbol"/>
      <family val="1"/>
      <charset val="2"/>
    </font>
    <font>
      <sz val="9"/>
      <color theme="1"/>
      <name val="Calibri"/>
      <family val="2"/>
      <scheme val="minor"/>
    </font>
    <font>
      <b/>
      <sz val="11"/>
      <color theme="1"/>
      <name val="Calibri"/>
      <family val="2"/>
    </font>
    <font>
      <b/>
      <sz val="11"/>
      <color theme="1"/>
      <name val="Calibri"/>
      <family val="2"/>
      <scheme val="minor"/>
    </font>
    <font>
      <sz val="9"/>
      <color theme="1"/>
      <name val="Calibri"/>
      <family val="1"/>
      <charset val="2"/>
    </font>
    <font>
      <sz val="10"/>
      <name val="Calibri"/>
      <family val="2"/>
    </font>
    <font>
      <i/>
      <u/>
      <sz val="9"/>
      <color theme="1"/>
      <name val="Calibri"/>
      <family val="2"/>
    </font>
    <font>
      <i/>
      <sz val="9"/>
      <color theme="1"/>
      <name val="Symbol"/>
      <family val="1"/>
      <charset val="2"/>
    </font>
    <font>
      <b/>
      <sz val="8"/>
      <color theme="1"/>
      <name val="Calibri"/>
      <family val="2"/>
    </font>
    <font>
      <sz val="9"/>
      <color theme="5"/>
      <name val="Calibri"/>
      <family val="2"/>
    </font>
    <font>
      <sz val="9"/>
      <color rgb="FFFF0000"/>
      <name val="Calibri"/>
      <family val="2"/>
    </font>
    <font>
      <b/>
      <u/>
      <sz val="9"/>
      <color theme="1"/>
      <name val="Calibri"/>
      <family val="2"/>
    </font>
    <font>
      <b/>
      <i/>
      <sz val="9"/>
      <color theme="1"/>
      <name val="Calibri"/>
      <family val="2"/>
    </font>
  </fonts>
  <fills count="1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3" tint="0.89999084444715716"/>
        <bgColor indexed="64"/>
      </patternFill>
    </fill>
    <fill>
      <patternFill patternType="solid">
        <fgColor rgb="FFFFFF99"/>
        <bgColor indexed="64"/>
      </patternFill>
    </fill>
    <fill>
      <patternFill patternType="solid">
        <fgColor theme="6" tint="0.79998168889431442"/>
        <bgColor indexed="64"/>
      </patternFill>
    </fill>
    <fill>
      <patternFill patternType="solid">
        <fgColor theme="0"/>
        <bgColor indexed="64"/>
      </patternFill>
    </fill>
    <fill>
      <patternFill patternType="solid">
        <fgColor rgb="FF0C6E54"/>
        <bgColor indexed="64"/>
      </patternFill>
    </fill>
    <fill>
      <patternFill patternType="solid">
        <fgColor rgb="FFE7FFFF"/>
        <bgColor indexed="64"/>
      </patternFill>
    </fill>
    <fill>
      <patternFill patternType="solid">
        <fgColor theme="8" tint="0.79998168889431442"/>
        <bgColor indexed="64"/>
      </patternFill>
    </fill>
    <fill>
      <patternFill patternType="solid">
        <fgColor rgb="FFCCECFF"/>
        <bgColor indexed="64"/>
      </patternFill>
    </fill>
    <fill>
      <patternFill patternType="solid">
        <fgColor rgb="FFF3F8F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theme="0" tint="-0.14999847407452621"/>
      </patternFill>
    </fill>
  </fills>
  <borders count="33">
    <border>
      <left/>
      <right/>
      <top/>
      <bottom/>
      <diagonal/>
    </border>
    <border>
      <left style="thin">
        <color theme="6" tint="0.79998168889431442"/>
      </left>
      <right style="thin">
        <color theme="6" tint="0.79998168889431442"/>
      </right>
      <top style="thin">
        <color theme="0"/>
      </top>
      <bottom style="thin">
        <color theme="0"/>
      </bottom>
      <diagonal/>
    </border>
    <border>
      <left style="thin">
        <color theme="1" tint="0.499984740745262"/>
      </left>
      <right style="thin">
        <color theme="1" tint="0.499984740745262"/>
      </right>
      <top style="thin">
        <color theme="0"/>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tint="0.499984740745262"/>
      </left>
      <right/>
      <top style="thin">
        <color theme="0"/>
      </top>
      <bottom style="thin">
        <color theme="0"/>
      </bottom>
      <diagonal/>
    </border>
    <border>
      <left/>
      <right style="thin">
        <color theme="1" tint="0.499984740745262"/>
      </right>
      <top style="thin">
        <color theme="0"/>
      </top>
      <bottom style="thin">
        <color theme="0"/>
      </bottom>
      <diagonal/>
    </border>
    <border>
      <left/>
      <right/>
      <top style="thin">
        <color theme="0"/>
      </top>
      <bottom style="thin">
        <color theme="0"/>
      </bottom>
      <diagonal/>
    </border>
    <border>
      <left/>
      <right/>
      <top style="thin">
        <color theme="0"/>
      </top>
      <bottom/>
      <diagonal/>
    </border>
    <border>
      <left style="thin">
        <color theme="6" tint="0.79998168889431442"/>
      </left>
      <right style="thin">
        <color theme="6" tint="0.79998168889431442"/>
      </right>
      <top style="thin">
        <color theme="0"/>
      </top>
      <bottom/>
      <diagonal/>
    </border>
    <border>
      <left style="thin">
        <color theme="6" tint="0.79998168889431442"/>
      </left>
      <right style="thin">
        <color theme="6" tint="0.79998168889431442"/>
      </right>
      <top/>
      <bottom style="thin">
        <color theme="0"/>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indexed="64"/>
      </top>
      <bottom style="thin">
        <color theme="0"/>
      </bottom>
      <diagonal/>
    </border>
    <border>
      <left/>
      <right style="thin">
        <color theme="0" tint="-0.24994659260841701"/>
      </right>
      <top/>
      <bottom/>
      <diagonal/>
    </border>
    <border>
      <left style="thin">
        <color theme="1" tint="0.499984740745262"/>
      </left>
      <right style="thin">
        <color theme="1" tint="0.499984740745262"/>
      </right>
      <top style="thin">
        <color theme="0"/>
      </top>
      <bottom/>
      <diagonal/>
    </border>
    <border>
      <left style="medium">
        <color indexed="64"/>
      </left>
      <right/>
      <top/>
      <bottom/>
      <diagonal/>
    </border>
    <border>
      <left/>
      <right style="medium">
        <color indexed="64"/>
      </right>
      <top/>
      <bottom/>
      <diagonal/>
    </border>
    <border>
      <left/>
      <right style="thin">
        <color theme="6" tint="0.79998168889431442"/>
      </right>
      <top/>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1" fillId="0" borderId="0"/>
    <xf numFmtId="165" fontId="1" fillId="0" borderId="0" applyFont="0" applyFill="0" applyBorder="0" applyAlignment="0" applyProtection="0"/>
    <xf numFmtId="0" fontId="2" fillId="0" borderId="0"/>
    <xf numFmtId="9" fontId="3" fillId="0" borderId="0" applyFont="0" applyFill="0" applyBorder="0" applyAlignment="0" applyProtection="0"/>
    <xf numFmtId="0" fontId="2" fillId="0" borderId="0"/>
    <xf numFmtId="165" fontId="3" fillId="0" borderId="0" applyFont="0" applyFill="0" applyBorder="0" applyAlignment="0" applyProtection="0"/>
    <xf numFmtId="0" fontId="17" fillId="0" borderId="0" applyNumberFormat="0" applyFill="0" applyBorder="0" applyAlignment="0" applyProtection="0"/>
  </cellStyleXfs>
  <cellXfs count="487">
    <xf numFmtId="0" fontId="0" fillId="0" borderId="0" xfId="0"/>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Font="1" applyAlignment="1">
      <alignment horizontal="center" vertical="top"/>
    </xf>
    <xf numFmtId="0" fontId="0" fillId="0" borderId="0" xfId="0" applyFont="1" applyAlignment="1">
      <alignment vertical="top" wrapText="1"/>
    </xf>
    <xf numFmtId="166" fontId="0" fillId="0" borderId="0" xfId="0" applyNumberFormat="1" applyAlignment="1">
      <alignment horizontal="center" vertical="top"/>
    </xf>
    <xf numFmtId="166" fontId="0" fillId="0" borderId="0" xfId="0" applyNumberFormat="1" applyAlignment="1">
      <alignment vertical="top" wrapText="1"/>
    </xf>
    <xf numFmtId="0" fontId="4" fillId="0" borderId="0" xfId="0" applyFont="1" applyAlignment="1">
      <alignment vertical="top"/>
    </xf>
    <xf numFmtId="0" fontId="0" fillId="0" borderId="0" xfId="0" applyFont="1" applyAlignment="1">
      <alignment vertical="top"/>
    </xf>
    <xf numFmtId="167" fontId="0" fillId="0" borderId="0" xfId="0" applyNumberFormat="1" applyFont="1" applyAlignment="1">
      <alignment horizontal="center" vertical="top"/>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5" fillId="0" borderId="0" xfId="0" applyFont="1" applyAlignment="1">
      <alignment vertical="top" wrapText="1"/>
    </xf>
    <xf numFmtId="0" fontId="5" fillId="3" borderId="0" xfId="0" applyFont="1" applyFill="1" applyAlignment="1">
      <alignment vertical="top" wrapText="1"/>
    </xf>
    <xf numFmtId="0" fontId="5" fillId="0" borderId="0" xfId="0" applyFont="1" applyAlignment="1">
      <alignment vertical="top"/>
    </xf>
    <xf numFmtId="0" fontId="5" fillId="0" borderId="0" xfId="0" applyFont="1" applyFill="1" applyAlignment="1">
      <alignment vertical="top" wrapText="1"/>
    </xf>
    <xf numFmtId="0" fontId="5" fillId="0" borderId="0" xfId="0" applyFont="1" applyBorder="1" applyAlignment="1">
      <alignment vertical="top" wrapText="1"/>
    </xf>
    <xf numFmtId="0" fontId="5" fillId="0" borderId="0" xfId="0" applyFont="1" applyFill="1" applyBorder="1" applyAlignment="1">
      <alignment vertical="top" wrapText="1"/>
    </xf>
    <xf numFmtId="9" fontId="5" fillId="0" borderId="0" xfId="0" applyNumberFormat="1" applyFont="1" applyFill="1" applyAlignment="1">
      <alignment vertical="top" wrapText="1"/>
    </xf>
    <xf numFmtId="165" fontId="0" fillId="0" borderId="0" xfId="0" applyNumberFormat="1" applyAlignment="1">
      <alignment vertical="top"/>
    </xf>
    <xf numFmtId="0" fontId="5" fillId="4" borderId="0" xfId="0" applyFont="1" applyFill="1" applyAlignment="1">
      <alignment vertical="top" wrapText="1"/>
    </xf>
    <xf numFmtId="0" fontId="5" fillId="6" borderId="0" xfId="0" applyFont="1" applyFill="1" applyAlignment="1">
      <alignment vertical="top" wrapText="1"/>
    </xf>
    <xf numFmtId="0" fontId="4" fillId="0" borderId="0" xfId="0" applyFont="1" applyAlignment="1">
      <alignment horizontal="center" vertical="top"/>
    </xf>
    <xf numFmtId="0" fontId="9" fillId="0" borderId="0" xfId="0" applyFont="1" applyAlignment="1">
      <alignment vertical="top"/>
    </xf>
    <xf numFmtId="0" fontId="9" fillId="0" borderId="0" xfId="0" applyFont="1" applyAlignment="1">
      <alignment horizontal="center" vertical="center"/>
    </xf>
    <xf numFmtId="0" fontId="9" fillId="0" borderId="0" xfId="0" applyFont="1" applyAlignment="1">
      <alignment horizontal="center" vertical="top"/>
    </xf>
    <xf numFmtId="166" fontId="5" fillId="0" borderId="0" xfId="0" applyNumberFormat="1" applyFont="1" applyBorder="1" applyAlignment="1">
      <alignment vertical="top" wrapText="1"/>
    </xf>
    <xf numFmtId="184" fontId="0" fillId="0" borderId="0" xfId="0" applyNumberFormat="1" applyAlignment="1">
      <alignment vertical="top"/>
    </xf>
    <xf numFmtId="0" fontId="12" fillId="0" borderId="0" xfId="0" applyFont="1" applyAlignment="1">
      <alignment vertical="top" wrapText="1"/>
    </xf>
    <xf numFmtId="0" fontId="5" fillId="7" borderId="2" xfId="0" applyFont="1" applyFill="1" applyBorder="1" applyAlignment="1">
      <alignment vertical="top" wrapText="1"/>
    </xf>
    <xf numFmtId="9" fontId="5" fillId="7" borderId="2" xfId="0" applyNumberFormat="1" applyFont="1" applyFill="1" applyBorder="1" applyAlignment="1">
      <alignment vertical="top" wrapText="1"/>
    </xf>
    <xf numFmtId="168" fontId="5" fillId="0" borderId="0" xfId="0" applyNumberFormat="1" applyFont="1" applyFill="1" applyAlignment="1">
      <alignment vertical="top" wrapText="1"/>
    </xf>
    <xf numFmtId="168" fontId="5" fillId="0" borderId="0" xfId="0" applyNumberFormat="1" applyFont="1" applyFill="1" applyAlignment="1">
      <alignment vertical="top"/>
    </xf>
    <xf numFmtId="168" fontId="5" fillId="0" borderId="0" xfId="0" applyNumberFormat="1" applyFont="1" applyFill="1" applyBorder="1" applyAlignment="1">
      <alignment vertical="top"/>
    </xf>
    <xf numFmtId="0" fontId="5" fillId="7" borderId="2" xfId="0" applyFont="1" applyFill="1" applyBorder="1" applyAlignment="1">
      <alignment horizontal="center" vertical="center"/>
    </xf>
    <xf numFmtId="166" fontId="6" fillId="7" borderId="2"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top"/>
    </xf>
    <xf numFmtId="0" fontId="5"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0" fontId="5" fillId="7" borderId="2" xfId="0" applyFont="1" applyFill="1" applyBorder="1"/>
    <xf numFmtId="168" fontId="5" fillId="0" borderId="0" xfId="4" applyNumberFormat="1" applyFont="1" applyFill="1" applyBorder="1" applyAlignment="1">
      <alignment horizontal="center" vertical="top" wrapText="1"/>
    </xf>
    <xf numFmtId="168" fontId="5" fillId="0" borderId="0" xfId="0" applyNumberFormat="1" applyFont="1" applyFill="1" applyBorder="1" applyAlignment="1">
      <alignment horizontal="center" vertical="top"/>
    </xf>
    <xf numFmtId="168" fontId="5" fillId="0" borderId="0" xfId="0" applyNumberFormat="1" applyFont="1" applyFill="1" applyBorder="1" applyAlignment="1">
      <alignment horizontal="center" vertical="top" wrapText="1"/>
    </xf>
    <xf numFmtId="168" fontId="5" fillId="7" borderId="2" xfId="0" applyNumberFormat="1" applyFont="1" applyFill="1" applyBorder="1" applyAlignment="1">
      <alignment horizontal="center" vertical="top" wrapText="1"/>
    </xf>
    <xf numFmtId="0" fontId="13" fillId="0" borderId="0" xfId="0" applyNumberFormat="1" applyFont="1" applyFill="1" applyAlignment="1">
      <alignment horizontal="center" vertical="top"/>
    </xf>
    <xf numFmtId="0" fontId="5" fillId="0" borderId="0" xfId="0" applyNumberFormat="1" applyFont="1" applyFill="1" applyAlignment="1">
      <alignment horizontal="left" vertical="top"/>
    </xf>
    <xf numFmtId="0" fontId="5" fillId="0" borderId="0" xfId="0" applyFont="1" applyFill="1" applyAlignment="1">
      <alignment horizontal="left" vertical="top"/>
    </xf>
    <xf numFmtId="168" fontId="5" fillId="0" borderId="0" xfId="0" applyNumberFormat="1" applyFont="1" applyFill="1" applyAlignment="1">
      <alignment horizontal="center" vertical="top" wrapText="1"/>
    </xf>
    <xf numFmtId="168" fontId="5" fillId="0" borderId="0" xfId="0" applyNumberFormat="1" applyFont="1" applyFill="1" applyAlignment="1">
      <alignment horizontal="center" vertical="top"/>
    </xf>
    <xf numFmtId="168" fontId="5" fillId="5" borderId="0" xfId="0" applyNumberFormat="1" applyFont="1" applyFill="1" applyAlignment="1">
      <alignment horizontal="center" vertical="top" wrapText="1"/>
    </xf>
    <xf numFmtId="168" fontId="5" fillId="0" borderId="0" xfId="0" applyNumberFormat="1" applyFont="1" applyAlignment="1">
      <alignment horizontal="center" vertical="top" wrapText="1"/>
    </xf>
    <xf numFmtId="169" fontId="5" fillId="5" borderId="0" xfId="0" applyNumberFormat="1" applyFont="1" applyFill="1" applyAlignment="1">
      <alignment horizontal="center" vertical="top" wrapText="1"/>
    </xf>
    <xf numFmtId="170" fontId="5" fillId="0" borderId="0" xfId="0" applyNumberFormat="1" applyFont="1" applyFill="1" applyAlignment="1">
      <alignment horizontal="center" vertical="top" wrapText="1"/>
    </xf>
    <xf numFmtId="173" fontId="5" fillId="0" borderId="0" xfId="0" applyNumberFormat="1" applyFont="1" applyFill="1" applyAlignment="1">
      <alignment horizontal="center" vertical="top"/>
    </xf>
    <xf numFmtId="173" fontId="5" fillId="7" borderId="2" xfId="0" applyNumberFormat="1" applyFont="1" applyFill="1" applyBorder="1" applyAlignment="1">
      <alignment horizontal="center" vertical="top"/>
    </xf>
    <xf numFmtId="169" fontId="5" fillId="0" borderId="0" xfId="0" applyNumberFormat="1" applyFont="1" applyFill="1" applyAlignment="1">
      <alignment horizontal="center" vertical="top" wrapText="1"/>
    </xf>
    <xf numFmtId="176" fontId="5" fillId="7" borderId="2" xfId="0" applyNumberFormat="1" applyFont="1" applyFill="1" applyBorder="1" applyAlignment="1">
      <alignment horizontal="center" vertical="top" wrapText="1"/>
    </xf>
    <xf numFmtId="168" fontId="5" fillId="0" borderId="0" xfId="0" applyNumberFormat="1" applyFont="1" applyAlignment="1">
      <alignment horizontal="center" vertical="top"/>
    </xf>
    <xf numFmtId="9" fontId="5" fillId="0" borderId="0" xfId="4" applyFont="1" applyAlignment="1">
      <alignment horizontal="center" vertical="top"/>
    </xf>
    <xf numFmtId="171" fontId="5" fillId="0" borderId="0" xfId="0" applyNumberFormat="1" applyFont="1" applyAlignment="1">
      <alignment horizontal="center" vertical="top" wrapText="1"/>
    </xf>
    <xf numFmtId="172" fontId="5" fillId="0" borderId="0" xfId="0" applyNumberFormat="1" applyFont="1" applyAlignment="1">
      <alignment horizontal="center" vertical="top" wrapText="1"/>
    </xf>
    <xf numFmtId="172" fontId="5" fillId="7" borderId="2" xfId="0" applyNumberFormat="1" applyFont="1" applyFill="1" applyBorder="1" applyAlignment="1">
      <alignment horizontal="center" vertical="top" wrapText="1"/>
    </xf>
    <xf numFmtId="174" fontId="5" fillId="0" borderId="0" xfId="0" applyNumberFormat="1" applyFont="1" applyAlignment="1">
      <alignment horizontal="center" vertical="top" wrapText="1"/>
    </xf>
    <xf numFmtId="174" fontId="5" fillId="7" borderId="2" xfId="0" applyNumberFormat="1" applyFont="1" applyFill="1" applyBorder="1" applyAlignment="1">
      <alignment horizontal="center" vertical="top" wrapText="1"/>
    </xf>
    <xf numFmtId="175" fontId="5" fillId="7" borderId="2" xfId="0" applyNumberFormat="1" applyFont="1" applyFill="1" applyBorder="1" applyAlignment="1">
      <alignment horizontal="center" vertical="top" wrapText="1"/>
    </xf>
    <xf numFmtId="9" fontId="5" fillId="0" borderId="0" xfId="4" applyFont="1" applyAlignment="1">
      <alignment horizontal="center" vertical="top" wrapText="1"/>
    </xf>
    <xf numFmtId="175" fontId="5" fillId="0" borderId="0" xfId="0" applyNumberFormat="1" applyFont="1" applyAlignment="1">
      <alignment horizontal="center" vertical="top"/>
    </xf>
    <xf numFmtId="175" fontId="5" fillId="7" borderId="2" xfId="0" applyNumberFormat="1" applyFont="1" applyFill="1" applyBorder="1" applyAlignment="1">
      <alignment horizontal="center" vertical="top"/>
    </xf>
    <xf numFmtId="175" fontId="5" fillId="0" borderId="0" xfId="0" applyNumberFormat="1" applyFont="1" applyFill="1" applyAlignment="1">
      <alignment horizontal="center" vertical="top"/>
    </xf>
    <xf numFmtId="186" fontId="5" fillId="0" borderId="0" xfId="0" applyNumberFormat="1" applyFont="1" applyFill="1" applyAlignment="1">
      <alignment horizontal="center" vertical="top"/>
    </xf>
    <xf numFmtId="186" fontId="5" fillId="0" borderId="0" xfId="0" applyNumberFormat="1" applyFont="1" applyFill="1" applyAlignment="1">
      <alignment horizontal="center" vertical="top" wrapText="1"/>
    </xf>
    <xf numFmtId="185" fontId="5" fillId="0" borderId="0" xfId="0" applyNumberFormat="1" applyFont="1" applyAlignment="1">
      <alignment horizontal="center" vertical="top"/>
    </xf>
    <xf numFmtId="9" fontId="5" fillId="0" borderId="0" xfId="4" applyFont="1" applyFill="1" applyAlignment="1">
      <alignment horizontal="center" vertical="top" wrapText="1"/>
    </xf>
    <xf numFmtId="9" fontId="5" fillId="0" borderId="0" xfId="4" applyFont="1" applyFill="1" applyAlignment="1">
      <alignment horizontal="center" vertical="top"/>
    </xf>
    <xf numFmtId="168" fontId="5" fillId="7" borderId="2" xfId="0" applyNumberFormat="1" applyFont="1" applyFill="1" applyBorder="1" applyAlignment="1">
      <alignment horizontal="center" vertical="top"/>
    </xf>
    <xf numFmtId="168" fontId="5" fillId="0" borderId="0" xfId="0" applyNumberFormat="1" applyFont="1" applyBorder="1" applyAlignment="1">
      <alignment horizontal="center" vertical="top" wrapText="1"/>
    </xf>
    <xf numFmtId="168" fontId="5" fillId="0" borderId="0" xfId="0" applyNumberFormat="1" applyFont="1" applyBorder="1" applyAlignment="1">
      <alignment horizontal="center" vertical="top"/>
    </xf>
    <xf numFmtId="166" fontId="6" fillId="7" borderId="1" xfId="0" applyNumberFormat="1" applyFont="1" applyFill="1" applyBorder="1" applyAlignment="1">
      <alignment horizontal="center" vertical="center" wrapText="1"/>
    </xf>
    <xf numFmtId="166" fontId="5" fillId="7" borderId="1" xfId="0" applyNumberFormat="1" applyFont="1" applyFill="1" applyBorder="1" applyAlignment="1">
      <alignment horizontal="center" vertical="top" wrapText="1"/>
    </xf>
    <xf numFmtId="0" fontId="5" fillId="3" borderId="0" xfId="0" applyNumberFormat="1" applyFont="1" applyFill="1" applyAlignment="1">
      <alignment horizontal="left" vertical="top"/>
    </xf>
    <xf numFmtId="168" fontId="5" fillId="3" borderId="0" xfId="0" applyNumberFormat="1" applyFont="1" applyFill="1" applyAlignment="1">
      <alignment horizontal="center" vertical="top" wrapText="1"/>
    </xf>
    <xf numFmtId="0" fontId="5" fillId="0" borderId="0" xfId="0" applyNumberFormat="1" applyFont="1" applyAlignment="1">
      <alignment vertical="top"/>
    </xf>
    <xf numFmtId="0" fontId="5" fillId="0" borderId="0" xfId="0" applyNumberFormat="1" applyFont="1" applyAlignment="1">
      <alignment horizontal="left" vertical="top"/>
    </xf>
    <xf numFmtId="0" fontId="5" fillId="4" borderId="0" xfId="0" applyNumberFormat="1" applyFont="1" applyFill="1" applyAlignment="1">
      <alignment horizontal="left" vertical="top"/>
    </xf>
    <xf numFmtId="0" fontId="5" fillId="4" borderId="0" xfId="0" applyFont="1" applyFill="1" applyAlignment="1">
      <alignment horizontal="left" vertical="top"/>
    </xf>
    <xf numFmtId="168" fontId="5" fillId="4" borderId="0" xfId="0" applyNumberFormat="1" applyFont="1" applyFill="1" applyAlignment="1">
      <alignment horizontal="center" vertical="top" wrapText="1"/>
    </xf>
    <xf numFmtId="0" fontId="5" fillId="4" borderId="0" xfId="0" applyNumberFormat="1" applyFont="1" applyFill="1" applyAlignment="1">
      <alignment horizontal="center" vertical="top" wrapText="1"/>
    </xf>
    <xf numFmtId="165" fontId="5" fillId="4" borderId="0" xfId="0" applyNumberFormat="1" applyFont="1" applyFill="1" applyAlignment="1">
      <alignment horizontal="center" vertical="top" wrapText="1"/>
    </xf>
    <xf numFmtId="165" fontId="14" fillId="4"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5" fontId="5" fillId="0" borderId="0" xfId="0" applyNumberFormat="1" applyFont="1" applyFill="1" applyAlignment="1">
      <alignment horizontal="center" vertical="top" wrapText="1"/>
    </xf>
    <xf numFmtId="165" fontId="14" fillId="0" borderId="0" xfId="0" applyNumberFormat="1" applyFont="1" applyFill="1" applyAlignment="1">
      <alignment horizontal="center" vertical="top" wrapText="1"/>
    </xf>
    <xf numFmtId="0" fontId="5" fillId="0" borderId="0" xfId="0" applyFont="1" applyAlignment="1">
      <alignment horizontal="left" vertical="top"/>
    </xf>
    <xf numFmtId="0" fontId="5" fillId="3" borderId="0" xfId="0" applyFont="1" applyFill="1" applyAlignment="1">
      <alignment horizontal="left" vertical="top"/>
    </xf>
    <xf numFmtId="0" fontId="5" fillId="3" borderId="0" xfId="0" applyNumberFormat="1" applyFont="1" applyFill="1" applyAlignment="1">
      <alignment horizontal="center" vertical="top" wrapText="1"/>
    </xf>
    <xf numFmtId="165" fontId="5" fillId="3" borderId="0" xfId="0" applyNumberFormat="1" applyFont="1" applyFill="1" applyAlignment="1">
      <alignment horizontal="center" vertical="top" wrapText="1"/>
    </xf>
    <xf numFmtId="165" fontId="14" fillId="3" borderId="0" xfId="0" applyNumberFormat="1" applyFont="1" applyFill="1" applyAlignment="1">
      <alignment horizontal="center" vertical="top" wrapText="1"/>
    </xf>
    <xf numFmtId="0" fontId="5" fillId="6" borderId="0" xfId="0" applyNumberFormat="1" applyFont="1" applyFill="1" applyAlignment="1">
      <alignment horizontal="left" vertical="top"/>
    </xf>
    <xf numFmtId="0" fontId="5" fillId="6" borderId="0" xfId="0" applyFont="1" applyFill="1" applyAlignment="1">
      <alignment horizontal="left" vertical="top"/>
    </xf>
    <xf numFmtId="168" fontId="5" fillId="6" borderId="0" xfId="0" applyNumberFormat="1" applyFont="1" applyFill="1" applyAlignment="1">
      <alignment horizontal="center" vertical="top" wrapText="1"/>
    </xf>
    <xf numFmtId="0" fontId="5" fillId="6" borderId="0" xfId="0" applyNumberFormat="1" applyFont="1" applyFill="1" applyAlignment="1">
      <alignment horizontal="center" vertical="top" wrapText="1"/>
    </xf>
    <xf numFmtId="165" fontId="5" fillId="6" borderId="0" xfId="0" applyNumberFormat="1" applyFont="1" applyFill="1" applyAlignment="1">
      <alignment horizontal="center" vertical="top" wrapText="1"/>
    </xf>
    <xf numFmtId="165" fontId="14" fillId="6" borderId="0" xfId="0" applyNumberFormat="1" applyFont="1" applyFill="1" applyAlignment="1">
      <alignment horizontal="center" vertical="top" wrapText="1"/>
    </xf>
    <xf numFmtId="0" fontId="6" fillId="7" borderId="2" xfId="0" applyFont="1" applyFill="1" applyBorder="1" applyAlignment="1">
      <alignment horizontal="center" vertical="center" wrapText="1"/>
    </xf>
    <xf numFmtId="0" fontId="5" fillId="0" borderId="0" xfId="0" applyFont="1" applyBorder="1" applyAlignment="1">
      <alignment vertical="top"/>
    </xf>
    <xf numFmtId="0" fontId="5" fillId="0" borderId="0" xfId="0" applyFont="1" applyBorder="1" applyAlignment="1">
      <alignment horizontal="center" vertical="top" wrapText="1"/>
    </xf>
    <xf numFmtId="166" fontId="5" fillId="7" borderId="2" xfId="0" applyNumberFormat="1" applyFont="1" applyFill="1" applyBorder="1" applyAlignment="1">
      <alignment horizontal="center" vertical="top" wrapText="1"/>
    </xf>
    <xf numFmtId="165" fontId="5" fillId="0" borderId="0" xfId="6" applyFont="1" applyFill="1" applyBorder="1" applyAlignment="1">
      <alignment horizontal="center" vertical="top" wrapText="1"/>
    </xf>
    <xf numFmtId="0" fontId="5" fillId="0" borderId="0" xfId="0" applyNumberFormat="1" applyFont="1" applyFill="1" applyBorder="1" applyAlignment="1">
      <alignment horizontal="center" vertical="top" wrapText="1"/>
    </xf>
    <xf numFmtId="165" fontId="5" fillId="0" borderId="0" xfId="6" applyFont="1" applyFill="1" applyAlignment="1">
      <alignment horizontal="center" vertical="top" wrapText="1"/>
    </xf>
    <xf numFmtId="165" fontId="5" fillId="0" borderId="0" xfId="6" quotePrefix="1" applyFont="1" applyFill="1" applyAlignment="1">
      <alignment horizontal="center" vertical="top" wrapText="1"/>
    </xf>
    <xf numFmtId="181" fontId="5" fillId="0" borderId="0" xfId="0" applyNumberFormat="1" applyFont="1" applyFill="1" applyBorder="1" applyAlignment="1">
      <alignment horizontal="center" vertical="top" wrapText="1"/>
    </xf>
    <xf numFmtId="165" fontId="5" fillId="0" borderId="0" xfId="6" applyFont="1" applyFill="1" applyAlignment="1">
      <alignment horizontal="center" vertical="top"/>
    </xf>
    <xf numFmtId="165" fontId="13" fillId="0" borderId="0" xfId="6" applyFont="1" applyFill="1" applyAlignment="1">
      <alignment horizontal="center" vertical="top" wrapText="1"/>
    </xf>
    <xf numFmtId="187" fontId="5" fillId="0" borderId="0" xfId="6" applyNumberFormat="1" applyFont="1" applyFill="1" applyAlignment="1">
      <alignment horizontal="center" vertical="top" wrapText="1"/>
    </xf>
    <xf numFmtId="165" fontId="13" fillId="0" borderId="0" xfId="6" applyFont="1" applyFill="1" applyAlignment="1">
      <alignment horizontal="center" vertical="top"/>
    </xf>
    <xf numFmtId="165" fontId="5" fillId="7" borderId="2" xfId="6" applyFont="1" applyFill="1" applyBorder="1" applyAlignment="1">
      <alignment horizontal="center" vertical="top" wrapText="1"/>
    </xf>
    <xf numFmtId="188" fontId="5" fillId="0" borderId="0" xfId="6" applyNumberFormat="1" applyFont="1" applyFill="1" applyAlignment="1">
      <alignment horizontal="center" vertical="top" wrapText="1"/>
    </xf>
    <xf numFmtId="180" fontId="5" fillId="0" borderId="0" xfId="6" applyNumberFormat="1" applyFont="1" applyFill="1" applyAlignment="1">
      <alignment horizontal="center" vertical="top" wrapText="1"/>
    </xf>
    <xf numFmtId="179" fontId="5" fillId="7" borderId="2" xfId="0" applyNumberFormat="1" applyFont="1" applyFill="1" applyBorder="1" applyAlignment="1">
      <alignment horizontal="center" vertical="top" wrapText="1"/>
    </xf>
    <xf numFmtId="165" fontId="5" fillId="7" borderId="2" xfId="6" applyFont="1" applyFill="1" applyBorder="1" applyAlignment="1">
      <alignment horizontal="center" vertical="top"/>
    </xf>
    <xf numFmtId="189" fontId="5" fillId="0" borderId="0" xfId="6" applyNumberFormat="1" applyFont="1" applyFill="1" applyAlignment="1">
      <alignment horizontal="center" vertical="top" wrapText="1"/>
    </xf>
    <xf numFmtId="168" fontId="5" fillId="0" borderId="0" xfId="4" applyNumberFormat="1" applyFont="1" applyFill="1" applyAlignment="1">
      <alignment horizontal="center" vertical="top" wrapText="1"/>
    </xf>
    <xf numFmtId="178" fontId="5" fillId="7" borderId="2" xfId="0" applyNumberFormat="1" applyFont="1" applyFill="1" applyBorder="1" applyAlignment="1">
      <alignment horizontal="center" vertical="top" wrapText="1"/>
    </xf>
    <xf numFmtId="168" fontId="5" fillId="0" borderId="0" xfId="4" applyNumberFormat="1" applyFont="1" applyFill="1" applyAlignment="1">
      <alignment horizontal="center" vertical="top"/>
    </xf>
    <xf numFmtId="165" fontId="5" fillId="0" borderId="0" xfId="6" applyFont="1" applyFill="1" applyBorder="1" applyAlignment="1">
      <alignment horizontal="center" vertical="top"/>
    </xf>
    <xf numFmtId="0" fontId="6" fillId="0" borderId="0" xfId="0" applyFont="1" applyBorder="1" applyAlignment="1">
      <alignment horizontal="center" vertical="center"/>
    </xf>
    <xf numFmtId="0" fontId="5" fillId="0" borderId="0" xfId="0" applyFont="1" applyBorder="1" applyAlignment="1">
      <alignment horizontal="center" vertical="top"/>
    </xf>
    <xf numFmtId="0" fontId="5" fillId="0" borderId="0" xfId="0" applyFont="1" applyBorder="1" applyAlignment="1">
      <alignment horizontal="left" vertical="top"/>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wrapText="1"/>
    </xf>
    <xf numFmtId="10" fontId="5" fillId="0" borderId="0" xfId="4" applyNumberFormat="1" applyFont="1" applyBorder="1" applyAlignment="1">
      <alignment horizontal="center" vertical="top" wrapText="1"/>
    </xf>
    <xf numFmtId="167" fontId="6" fillId="0" borderId="0" xfId="0" applyNumberFormat="1" applyFont="1" applyBorder="1" applyAlignment="1">
      <alignment horizontal="center" vertical="center"/>
    </xf>
    <xf numFmtId="167" fontId="5" fillId="0" borderId="0" xfId="0" applyNumberFormat="1" applyFont="1" applyBorder="1" applyAlignment="1">
      <alignment horizontal="center" vertical="top"/>
    </xf>
    <xf numFmtId="190" fontId="5" fillId="0" borderId="0" xfId="6" applyNumberFormat="1" applyFont="1" applyFill="1" applyAlignment="1">
      <alignment horizontal="center" vertical="top" wrapText="1"/>
    </xf>
    <xf numFmtId="165" fontId="5" fillId="0" borderId="0" xfId="0" applyNumberFormat="1" applyFont="1" applyFill="1" applyBorder="1" applyAlignment="1">
      <alignment horizontal="center" vertical="top" wrapText="1"/>
    </xf>
    <xf numFmtId="0" fontId="13" fillId="0" borderId="0" xfId="0" applyFont="1" applyBorder="1" applyAlignment="1">
      <alignment horizontal="center" vertical="top"/>
    </xf>
    <xf numFmtId="165" fontId="0" fillId="0" borderId="0" xfId="0" applyNumberFormat="1" applyAlignment="1">
      <alignment horizontal="center" vertical="center"/>
    </xf>
    <xf numFmtId="165" fontId="5" fillId="0" borderId="0" xfId="6" applyFont="1" applyAlignment="1">
      <alignment vertical="top"/>
    </xf>
    <xf numFmtId="0" fontId="0" fillId="0" borderId="0" xfId="0" applyNumberFormat="1" applyAlignment="1">
      <alignment horizontal="center" vertical="top"/>
    </xf>
    <xf numFmtId="0" fontId="4" fillId="0" borderId="0" xfId="0" applyNumberFormat="1" applyFont="1" applyAlignment="1">
      <alignment vertical="top"/>
    </xf>
    <xf numFmtId="0" fontId="9" fillId="0" borderId="0" xfId="0" applyNumberFormat="1" applyFont="1" applyAlignment="1">
      <alignment vertical="top"/>
    </xf>
    <xf numFmtId="0" fontId="7" fillId="0" borderId="0" xfId="0" applyNumberFormat="1" applyFont="1" applyAlignment="1">
      <alignment vertical="top"/>
    </xf>
    <xf numFmtId="0" fontId="0" fillId="0" borderId="0" xfId="0" applyNumberFormat="1" applyAlignment="1">
      <alignment vertical="top" wrapText="1"/>
    </xf>
    <xf numFmtId="0" fontId="0" fillId="0" borderId="0" xfId="0" applyNumberFormat="1" applyBorder="1" applyAlignment="1">
      <alignment horizontal="center" vertical="top"/>
    </xf>
    <xf numFmtId="0" fontId="0" fillId="0" borderId="0" xfId="0" applyNumberFormat="1" applyAlignment="1">
      <alignment vertical="top"/>
    </xf>
    <xf numFmtId="166" fontId="5" fillId="0" borderId="1" xfId="0" applyNumberFormat="1" applyFont="1" applyFill="1" applyBorder="1" applyAlignment="1">
      <alignment horizontal="center" vertical="top" wrapText="1"/>
    </xf>
    <xf numFmtId="166" fontId="17" fillId="0" borderId="0" xfId="7" applyNumberFormat="1" applyBorder="1" applyAlignment="1">
      <alignment vertical="top" wrapText="1"/>
    </xf>
    <xf numFmtId="165" fontId="12" fillId="4" borderId="0" xfId="0" applyNumberFormat="1" applyFont="1" applyFill="1" applyAlignment="1">
      <alignment horizontal="center" vertical="top" wrapText="1"/>
    </xf>
    <xf numFmtId="165" fontId="12" fillId="0" borderId="0" xfId="0" applyNumberFormat="1" applyFont="1" applyFill="1" applyAlignment="1">
      <alignment horizontal="center" vertical="top" wrapText="1"/>
    </xf>
    <xf numFmtId="165" fontId="12" fillId="3" borderId="0" xfId="0" applyNumberFormat="1" applyFont="1" applyFill="1" applyAlignment="1">
      <alignment horizontal="center" vertical="top" wrapText="1"/>
    </xf>
    <xf numFmtId="165" fontId="12" fillId="6" borderId="0" xfId="0" applyNumberFormat="1" applyFont="1" applyFill="1" applyAlignment="1">
      <alignment horizontal="center" vertical="top" wrapText="1"/>
    </xf>
    <xf numFmtId="165" fontId="5" fillId="0" borderId="0" xfId="6" applyFont="1" applyBorder="1" applyAlignment="1">
      <alignment horizontal="center" vertical="center"/>
    </xf>
    <xf numFmtId="0" fontId="0" fillId="0" borderId="0" xfId="0" applyBorder="1" applyAlignment="1">
      <alignment horizontal="center" vertical="center"/>
    </xf>
    <xf numFmtId="165" fontId="5" fillId="0" borderId="0" xfId="6" applyFont="1" applyBorder="1" applyAlignment="1">
      <alignment vertical="top"/>
    </xf>
    <xf numFmtId="0" fontId="0" fillId="0" borderId="0" xfId="0" applyBorder="1" applyAlignment="1">
      <alignment vertical="top"/>
    </xf>
    <xf numFmtId="0" fontId="6" fillId="8" borderId="0" xfId="0" applyFont="1" applyFill="1" applyBorder="1" applyAlignment="1">
      <alignment horizontal="center" vertical="center" wrapText="1"/>
    </xf>
    <xf numFmtId="166" fontId="6" fillId="8" borderId="0" xfId="0" applyNumberFormat="1" applyFont="1" applyFill="1" applyBorder="1" applyAlignment="1">
      <alignment horizontal="center" vertical="center" wrapText="1"/>
    </xf>
    <xf numFmtId="168" fontId="5" fillId="9" borderId="0" xfId="0" applyNumberFormat="1" applyFont="1" applyFill="1" applyBorder="1" applyAlignment="1">
      <alignment horizontal="center" vertical="top" wrapText="1"/>
    </xf>
    <xf numFmtId="168" fontId="5" fillId="10" borderId="0" xfId="0" applyNumberFormat="1" applyFont="1" applyFill="1" applyBorder="1" applyAlignment="1">
      <alignment horizontal="center" vertical="top" wrapText="1"/>
    </xf>
    <xf numFmtId="0" fontId="5" fillId="10" borderId="0" xfId="0" applyFont="1" applyFill="1" applyBorder="1" applyAlignment="1">
      <alignment vertical="top" wrapText="1"/>
    </xf>
    <xf numFmtId="0" fontId="13" fillId="10" borderId="0" xfId="0" applyNumberFormat="1" applyFont="1" applyFill="1" applyBorder="1" applyAlignment="1">
      <alignment horizontal="center" vertical="top"/>
    </xf>
    <xf numFmtId="168" fontId="5" fillId="10" borderId="0" xfId="4" applyNumberFormat="1" applyFont="1" applyFill="1" applyBorder="1" applyAlignment="1">
      <alignment horizontal="center" vertical="top" wrapText="1"/>
    </xf>
    <xf numFmtId="0" fontId="13" fillId="10" borderId="0" xfId="0" applyNumberFormat="1" applyFont="1" applyFill="1" applyAlignment="1">
      <alignment horizontal="center" vertical="top"/>
    </xf>
    <xf numFmtId="0" fontId="5" fillId="10" borderId="0" xfId="0" applyFont="1" applyFill="1" applyAlignment="1">
      <alignment vertical="top" wrapText="1"/>
    </xf>
    <xf numFmtId="168" fontId="5" fillId="10" borderId="0" xfId="0" applyNumberFormat="1" applyFont="1" applyFill="1" applyAlignment="1">
      <alignment horizontal="center" vertical="top" wrapText="1"/>
    </xf>
    <xf numFmtId="0" fontId="5" fillId="11" borderId="0" xfId="0" applyNumberFormat="1" applyFont="1" applyFill="1" applyBorder="1" applyAlignment="1">
      <alignment horizontal="left" vertical="top"/>
    </xf>
    <xf numFmtId="0" fontId="5" fillId="11" borderId="0" xfId="0" applyFont="1" applyFill="1" applyBorder="1" applyAlignment="1">
      <alignment horizontal="left" vertical="top"/>
    </xf>
    <xf numFmtId="0" fontId="5" fillId="11" borderId="0" xfId="0" applyFont="1" applyFill="1" applyBorder="1" applyAlignment="1">
      <alignment horizontal="center" vertical="center" wrapText="1"/>
    </xf>
    <xf numFmtId="168" fontId="5" fillId="11" borderId="0" xfId="0" applyNumberFormat="1" applyFont="1" applyFill="1" applyBorder="1" applyAlignment="1">
      <alignment horizontal="center" vertical="top" wrapText="1"/>
    </xf>
    <xf numFmtId="0" fontId="5" fillId="11" borderId="0" xfId="0" applyNumberFormat="1" applyFont="1" applyFill="1" applyBorder="1" applyAlignment="1">
      <alignment horizontal="center" vertical="top" wrapText="1"/>
    </xf>
    <xf numFmtId="165" fontId="5" fillId="11" borderId="0" xfId="0" applyNumberFormat="1" applyFont="1" applyFill="1" applyBorder="1" applyAlignment="1">
      <alignment horizontal="center" vertical="top" wrapText="1"/>
    </xf>
    <xf numFmtId="165" fontId="14" fillId="11" borderId="0" xfId="0" applyNumberFormat="1" applyFont="1" applyFill="1" applyBorder="1" applyAlignment="1">
      <alignment horizontal="center" vertical="top" wrapText="1"/>
    </xf>
    <xf numFmtId="165" fontId="12" fillId="11" borderId="0" xfId="0" applyNumberFormat="1" applyFont="1" applyFill="1" applyBorder="1" applyAlignment="1">
      <alignment horizontal="center" vertical="top" wrapText="1"/>
    </xf>
    <xf numFmtId="0" fontId="5" fillId="10" borderId="0" xfId="0" applyNumberFormat="1" applyFont="1" applyFill="1" applyBorder="1" applyAlignment="1">
      <alignment horizontal="left" vertical="top"/>
    </xf>
    <xf numFmtId="0" fontId="5" fillId="10" borderId="0" xfId="0" applyFont="1" applyFill="1" applyBorder="1" applyAlignment="1">
      <alignment horizontal="left" vertical="top"/>
    </xf>
    <xf numFmtId="0" fontId="5" fillId="10" borderId="0" xfId="0" applyNumberFormat="1" applyFont="1" applyFill="1" applyAlignment="1">
      <alignment horizontal="left" vertical="top"/>
    </xf>
    <xf numFmtId="0" fontId="5" fillId="10" borderId="0" xfId="0" applyFont="1" applyFill="1" applyAlignment="1">
      <alignment horizontal="left" vertical="top"/>
    </xf>
    <xf numFmtId="0" fontId="5" fillId="10" borderId="0" xfId="0" applyNumberFormat="1" applyFont="1" applyFill="1" applyAlignment="1">
      <alignment horizontal="center" vertical="top" wrapText="1"/>
    </xf>
    <xf numFmtId="165" fontId="5" fillId="10" borderId="0" xfId="0" applyNumberFormat="1" applyFont="1" applyFill="1" applyAlignment="1">
      <alignment horizontal="center" vertical="top" wrapText="1"/>
    </xf>
    <xf numFmtId="165" fontId="14" fillId="10" borderId="0" xfId="0" applyNumberFormat="1" applyFont="1" applyFill="1" applyAlignment="1">
      <alignment horizontal="center" vertical="top" wrapText="1"/>
    </xf>
    <xf numFmtId="165" fontId="12" fillId="10" borderId="0" xfId="0" applyNumberFormat="1" applyFont="1" applyFill="1" applyAlignment="1">
      <alignment horizontal="center" vertical="top" wrapText="1"/>
    </xf>
    <xf numFmtId="168" fontId="5" fillId="10" borderId="0" xfId="0" applyNumberFormat="1" applyFont="1" applyFill="1" applyBorder="1" applyAlignment="1">
      <alignment horizontal="center" vertical="top"/>
    </xf>
    <xf numFmtId="168" fontId="5" fillId="10" borderId="0" xfId="0" applyNumberFormat="1" applyFont="1" applyFill="1" applyBorder="1" applyAlignment="1">
      <alignment vertical="top" wrapText="1"/>
    </xf>
    <xf numFmtId="0" fontId="5" fillId="9" borderId="0" xfId="0" applyFont="1" applyFill="1" applyBorder="1" applyAlignment="1">
      <alignment vertical="top" wrapText="1"/>
    </xf>
    <xf numFmtId="166" fontId="5" fillId="9" borderId="0" xfId="0" applyNumberFormat="1" applyFont="1" applyFill="1" applyBorder="1" applyAlignment="1">
      <alignment vertical="top" wrapText="1"/>
    </xf>
    <xf numFmtId="166" fontId="5" fillId="9" borderId="0" xfId="0" applyNumberFormat="1" applyFont="1" applyFill="1" applyBorder="1" applyAlignment="1">
      <alignment horizontal="center" vertical="top" wrapText="1"/>
    </xf>
    <xf numFmtId="0" fontId="5" fillId="5" borderId="0" xfId="0" applyNumberFormat="1" applyFont="1" applyFill="1" applyAlignment="1">
      <alignment horizontal="center" vertical="top" wrapText="1"/>
    </xf>
    <xf numFmtId="0" fontId="13" fillId="9" borderId="0" xfId="0" applyNumberFormat="1" applyFont="1" applyFill="1" applyAlignment="1">
      <alignment horizontal="center" vertical="top"/>
    </xf>
    <xf numFmtId="0" fontId="5" fillId="9" borderId="0" xfId="0" applyFont="1" applyFill="1" applyAlignment="1">
      <alignment vertical="top" wrapText="1"/>
    </xf>
    <xf numFmtId="9" fontId="5" fillId="9" borderId="0" xfId="4" applyNumberFormat="1" applyFont="1" applyFill="1" applyBorder="1" applyAlignment="1">
      <alignment vertical="top" wrapText="1"/>
    </xf>
    <xf numFmtId="168" fontId="5" fillId="9" borderId="0" xfId="4" applyNumberFormat="1" applyFont="1" applyFill="1" applyBorder="1" applyAlignment="1">
      <alignment horizontal="center" vertical="top" wrapText="1"/>
    </xf>
    <xf numFmtId="9" fontId="5" fillId="9" borderId="0" xfId="4" applyNumberFormat="1" applyFont="1" applyFill="1" applyBorder="1" applyAlignment="1">
      <alignment horizontal="center" vertical="top" wrapText="1"/>
    </xf>
    <xf numFmtId="170" fontId="5" fillId="5" borderId="0" xfId="0" applyNumberFormat="1" applyFont="1" applyFill="1" applyAlignment="1">
      <alignment horizontal="center" vertical="top" wrapText="1"/>
    </xf>
    <xf numFmtId="174" fontId="5" fillId="5" borderId="0" xfId="0" applyNumberFormat="1" applyFont="1" applyFill="1" applyAlignment="1">
      <alignment horizontal="center" vertical="top" wrapText="1"/>
    </xf>
    <xf numFmtId="174" fontId="5" fillId="5" borderId="0" xfId="0" applyNumberFormat="1" applyFont="1" applyFill="1" applyAlignment="1">
      <alignment horizontal="center" vertical="top"/>
    </xf>
    <xf numFmtId="171" fontId="5" fillId="5" borderId="0" xfId="0" applyNumberFormat="1" applyFont="1" applyFill="1" applyAlignment="1">
      <alignment horizontal="center" vertical="top" wrapText="1"/>
    </xf>
    <xf numFmtId="177" fontId="5" fillId="5" borderId="0" xfId="0" applyNumberFormat="1" applyFont="1" applyFill="1" applyAlignment="1">
      <alignment horizontal="center" vertical="top" wrapText="1"/>
    </xf>
    <xf numFmtId="0" fontId="5" fillId="9" borderId="0" xfId="0" applyNumberFormat="1" applyFont="1" applyFill="1" applyAlignment="1">
      <alignment horizontal="left" vertical="top"/>
    </xf>
    <xf numFmtId="0" fontId="5" fillId="9" borderId="0" xfId="0" applyFont="1" applyFill="1" applyAlignment="1">
      <alignment horizontal="left" vertical="top"/>
    </xf>
    <xf numFmtId="177" fontId="5" fillId="5" borderId="0" xfId="6" applyNumberFormat="1" applyFont="1" applyFill="1" applyAlignment="1">
      <alignment horizontal="center" vertical="top" wrapText="1"/>
    </xf>
    <xf numFmtId="0" fontId="5" fillId="9" borderId="0" xfId="0" applyNumberFormat="1" applyFont="1" applyFill="1" applyBorder="1" applyAlignment="1">
      <alignment horizontal="left" vertical="top"/>
    </xf>
    <xf numFmtId="0" fontId="5" fillId="9" borderId="0" xfId="0" applyFont="1" applyFill="1" applyBorder="1" applyAlignment="1">
      <alignment horizontal="left" vertical="top"/>
    </xf>
    <xf numFmtId="0" fontId="5" fillId="9" borderId="0" xfId="0" applyNumberFormat="1" applyFont="1" applyFill="1" applyBorder="1" applyAlignment="1">
      <alignment horizontal="center" vertical="top" wrapText="1"/>
    </xf>
    <xf numFmtId="165" fontId="5" fillId="9" borderId="0" xfId="0" applyNumberFormat="1" applyFont="1" applyFill="1" applyBorder="1" applyAlignment="1">
      <alignment horizontal="center" vertical="top" wrapText="1"/>
    </xf>
    <xf numFmtId="165" fontId="14" fillId="9" borderId="0" xfId="0" applyNumberFormat="1" applyFont="1" applyFill="1" applyBorder="1" applyAlignment="1">
      <alignment horizontal="center" vertical="top" wrapText="1"/>
    </xf>
    <xf numFmtId="165" fontId="12" fillId="9" borderId="0" xfId="0" applyNumberFormat="1" applyFont="1" applyFill="1" applyBorder="1" applyAlignment="1">
      <alignment horizontal="center" vertical="top" wrapText="1"/>
    </xf>
    <xf numFmtId="0" fontId="0" fillId="0" borderId="0" xfId="0" applyFill="1" applyBorder="1" applyAlignment="1">
      <alignment vertical="top" wrapText="1"/>
    </xf>
    <xf numFmtId="166" fontId="6" fillId="7" borderId="14" xfId="0" applyNumberFormat="1" applyFont="1" applyFill="1" applyBorder="1" applyAlignment="1">
      <alignment horizontal="center" vertical="center" wrapText="1"/>
    </xf>
    <xf numFmtId="166" fontId="6" fillId="7" borderId="15" xfId="0" applyNumberFormat="1" applyFont="1" applyFill="1" applyBorder="1" applyAlignment="1">
      <alignment horizontal="center" vertical="center" wrapText="1"/>
    </xf>
    <xf numFmtId="168" fontId="5" fillId="7" borderId="14" xfId="0" applyNumberFormat="1" applyFont="1" applyFill="1" applyBorder="1" applyAlignment="1">
      <alignment horizontal="center" vertical="top" wrapText="1"/>
    </xf>
    <xf numFmtId="168" fontId="5" fillId="7" borderId="15" xfId="0" applyNumberFormat="1" applyFont="1" applyFill="1" applyBorder="1" applyAlignment="1">
      <alignment horizontal="center" vertical="top" wrapText="1"/>
    </xf>
    <xf numFmtId="168" fontId="5" fillId="7" borderId="14" xfId="0" applyNumberFormat="1" applyFont="1" applyFill="1" applyBorder="1" applyAlignment="1">
      <alignment horizontal="center" vertical="top"/>
    </xf>
    <xf numFmtId="168" fontId="5" fillId="7" borderId="15" xfId="0" applyNumberFormat="1" applyFont="1" applyFill="1" applyBorder="1" applyAlignment="1">
      <alignment horizontal="center" vertical="top"/>
    </xf>
    <xf numFmtId="0" fontId="18" fillId="0" borderId="0" xfId="0" applyNumberFormat="1" applyFont="1" applyAlignment="1">
      <alignment vertical="top"/>
    </xf>
    <xf numFmtId="0" fontId="18" fillId="0" borderId="0" xfId="0" applyFont="1" applyAlignment="1">
      <alignment vertical="top"/>
    </xf>
    <xf numFmtId="0" fontId="19" fillId="9" borderId="0" xfId="0" applyNumberFormat="1" applyFont="1" applyFill="1" applyBorder="1" applyAlignment="1">
      <alignment horizontal="center" vertical="top"/>
    </xf>
    <xf numFmtId="0" fontId="19" fillId="9" borderId="0" xfId="4" applyNumberFormat="1" applyFont="1" applyFill="1" applyBorder="1" applyAlignment="1">
      <alignment horizontal="center" vertical="top"/>
    </xf>
    <xf numFmtId="0" fontId="5" fillId="9" borderId="0" xfId="4" applyNumberFormat="1" applyFont="1" applyFill="1" applyBorder="1" applyAlignment="1">
      <alignment vertical="top" wrapText="1"/>
    </xf>
    <xf numFmtId="0" fontId="4" fillId="0" borderId="0" xfId="0" applyFont="1" applyAlignment="1">
      <alignment vertical="top" wrapText="1"/>
    </xf>
    <xf numFmtId="0" fontId="20" fillId="8" borderId="0" xfId="0" applyFont="1" applyFill="1" applyBorder="1" applyAlignment="1">
      <alignment horizontal="center" vertical="center" wrapText="1"/>
    </xf>
    <xf numFmtId="0" fontId="20" fillId="8" borderId="0" xfId="0" applyFont="1" applyFill="1" applyAlignment="1">
      <alignment horizontal="center" vertical="center" wrapText="1"/>
    </xf>
    <xf numFmtId="166" fontId="20" fillId="8" borderId="0" xfId="0" applyNumberFormat="1" applyFont="1" applyFill="1" applyBorder="1" applyAlignment="1">
      <alignment horizontal="center" vertical="center" wrapText="1"/>
    </xf>
    <xf numFmtId="166" fontId="20" fillId="7" borderId="1" xfId="0" applyNumberFormat="1" applyFont="1" applyFill="1" applyBorder="1" applyAlignment="1">
      <alignment horizontal="center" vertical="center" wrapText="1"/>
    </xf>
    <xf numFmtId="0" fontId="19" fillId="0" borderId="20" xfId="0" applyNumberFormat="1" applyFont="1" applyBorder="1" applyAlignment="1">
      <alignment horizontal="center" vertical="top"/>
    </xf>
    <xf numFmtId="0" fontId="5" fillId="0" borderId="17" xfId="0" applyFont="1" applyBorder="1" applyAlignment="1">
      <alignment vertical="top" wrapText="1"/>
    </xf>
    <xf numFmtId="168" fontId="5" fillId="0" borderId="17" xfId="0" applyNumberFormat="1" applyFont="1" applyFill="1" applyBorder="1" applyAlignment="1">
      <alignment horizontal="center" vertical="top" wrapText="1"/>
    </xf>
    <xf numFmtId="166" fontId="5" fillId="0" borderId="17" xfId="0" applyNumberFormat="1" applyFont="1" applyBorder="1" applyAlignment="1">
      <alignment horizontal="center" vertical="top" wrapText="1"/>
    </xf>
    <xf numFmtId="0" fontId="5" fillId="0" borderId="20" xfId="0" applyFont="1" applyBorder="1" applyAlignment="1">
      <alignment vertical="top" wrapText="1"/>
    </xf>
    <xf numFmtId="0" fontId="5" fillId="5" borderId="20" xfId="0" applyNumberFormat="1" applyFont="1" applyFill="1" applyBorder="1" applyAlignment="1">
      <alignment horizontal="center" vertical="top" wrapText="1"/>
    </xf>
    <xf numFmtId="166" fontId="5" fillId="0" borderId="20" xfId="0" applyNumberFormat="1" applyFont="1" applyBorder="1" applyAlignment="1">
      <alignment horizontal="center" vertical="top" wrapText="1"/>
    </xf>
    <xf numFmtId="166" fontId="5" fillId="0" borderId="20" xfId="0" applyNumberFormat="1" applyFont="1" applyBorder="1" applyAlignment="1">
      <alignment vertical="top" wrapText="1"/>
    </xf>
    <xf numFmtId="0" fontId="19" fillId="0" borderId="17" xfId="0" applyNumberFormat="1" applyFont="1" applyBorder="1" applyAlignment="1">
      <alignment horizontal="center" vertical="top"/>
    </xf>
    <xf numFmtId="0" fontId="20" fillId="0" borderId="20" xfId="0" applyFont="1" applyBorder="1" applyAlignment="1">
      <alignment vertical="top" wrapText="1"/>
    </xf>
    <xf numFmtId="166" fontId="20" fillId="0" borderId="20" xfId="0" applyNumberFormat="1" applyFont="1" applyBorder="1" applyAlignment="1">
      <alignment horizontal="center" vertical="top" wrapText="1"/>
    </xf>
    <xf numFmtId="0" fontId="15" fillId="0" borderId="0" xfId="4" applyNumberFormat="1" applyFont="1" applyFill="1" applyBorder="1" applyAlignment="1">
      <alignment vertical="top" wrapText="1"/>
    </xf>
    <xf numFmtId="0" fontId="19" fillId="0" borderId="16" xfId="0" applyNumberFormat="1" applyFont="1" applyBorder="1" applyAlignment="1">
      <alignment horizontal="center" vertical="top"/>
    </xf>
    <xf numFmtId="0" fontId="5" fillId="0" borderId="16" xfId="0" applyFont="1" applyBorder="1" applyAlignment="1">
      <alignment vertical="top" wrapText="1"/>
    </xf>
    <xf numFmtId="0" fontId="5" fillId="5" borderId="16" xfId="0" applyNumberFormat="1" applyFont="1" applyFill="1" applyBorder="1" applyAlignment="1">
      <alignment horizontal="center" vertical="top" wrapText="1"/>
    </xf>
    <xf numFmtId="166" fontId="5" fillId="0" borderId="16" xfId="0" applyNumberFormat="1" applyFont="1" applyBorder="1" applyAlignment="1">
      <alignment horizontal="center" vertical="top" wrapText="1"/>
    </xf>
    <xf numFmtId="166" fontId="5" fillId="0" borderId="16" xfId="0" applyNumberFormat="1" applyFont="1" applyBorder="1" applyAlignment="1">
      <alignment vertical="top" wrapText="1"/>
    </xf>
    <xf numFmtId="0" fontId="5" fillId="0" borderId="17" xfId="0" applyFont="1" applyBorder="1" applyAlignment="1">
      <alignment vertical="top"/>
    </xf>
    <xf numFmtId="14" fontId="5" fillId="5" borderId="17" xfId="0" applyNumberFormat="1" applyFont="1" applyFill="1" applyBorder="1" applyAlignment="1">
      <alignment horizontal="center" vertical="top" wrapText="1"/>
    </xf>
    <xf numFmtId="0" fontId="5" fillId="0" borderId="17" xfId="0" applyFont="1" applyBorder="1" applyAlignment="1">
      <alignment horizontal="center" vertical="top" wrapText="1"/>
    </xf>
    <xf numFmtId="0" fontId="5" fillId="0" borderId="16" xfId="0" applyNumberFormat="1" applyFont="1" applyBorder="1" applyAlignment="1">
      <alignment horizontal="left" vertical="top"/>
    </xf>
    <xf numFmtId="0" fontId="5" fillId="0" borderId="16" xfId="0" applyFont="1" applyFill="1" applyBorder="1" applyAlignment="1">
      <alignment vertical="top" wrapText="1"/>
    </xf>
    <xf numFmtId="165" fontId="5" fillId="0" borderId="16" xfId="0" applyNumberFormat="1" applyFont="1" applyBorder="1" applyAlignment="1">
      <alignment horizontal="center" vertical="top" wrapText="1"/>
    </xf>
    <xf numFmtId="0" fontId="5" fillId="0" borderId="17" xfId="0" applyNumberFormat="1" applyFont="1" applyBorder="1" applyAlignment="1">
      <alignment horizontal="left" vertical="top"/>
    </xf>
    <xf numFmtId="0" fontId="5" fillId="0" borderId="17" xfId="0" applyFont="1" applyFill="1" applyBorder="1" applyAlignment="1">
      <alignment vertical="top" wrapText="1"/>
    </xf>
    <xf numFmtId="165" fontId="5" fillId="0" borderId="17" xfId="0" applyNumberFormat="1" applyFont="1" applyBorder="1" applyAlignment="1">
      <alignment horizontal="center" vertical="top" wrapText="1"/>
    </xf>
    <xf numFmtId="0" fontId="20" fillId="0" borderId="17" xfId="0" applyNumberFormat="1" applyFont="1" applyBorder="1" applyAlignment="1">
      <alignment horizontal="left" vertical="top"/>
    </xf>
    <xf numFmtId="0" fontId="20" fillId="0" borderId="17" xfId="0" applyFont="1" applyBorder="1" applyAlignment="1">
      <alignment vertical="top" wrapText="1"/>
    </xf>
    <xf numFmtId="166" fontId="20" fillId="7" borderId="1" xfId="0" applyNumberFormat="1" applyFont="1" applyFill="1" applyBorder="1" applyAlignment="1">
      <alignment horizontal="center" vertical="top" wrapText="1"/>
    </xf>
    <xf numFmtId="168" fontId="5" fillId="0" borderId="17" xfId="0" applyNumberFormat="1" applyFont="1" applyBorder="1" applyAlignment="1">
      <alignment horizontal="center" vertical="top" wrapText="1"/>
    </xf>
    <xf numFmtId="168" fontId="5" fillId="0" borderId="16" xfId="0" applyNumberFormat="1" applyFont="1" applyFill="1" applyBorder="1" applyAlignment="1">
      <alignment horizontal="center" vertical="top" wrapText="1"/>
    </xf>
    <xf numFmtId="0" fontId="20" fillId="0" borderId="20" xfId="0" applyNumberFormat="1" applyFont="1" applyBorder="1" applyAlignment="1">
      <alignment horizontal="left" vertical="top"/>
    </xf>
    <xf numFmtId="168" fontId="20" fillId="0" borderId="20" xfId="0" applyNumberFormat="1" applyFont="1" applyFill="1" applyBorder="1" applyAlignment="1">
      <alignment horizontal="center" vertical="top" wrapText="1"/>
    </xf>
    <xf numFmtId="165" fontId="20" fillId="0" borderId="20" xfId="0" applyNumberFormat="1" applyFont="1" applyBorder="1" applyAlignment="1">
      <alignment horizontal="center" vertical="top" wrapText="1"/>
    </xf>
    <xf numFmtId="0" fontId="26" fillId="0" borderId="16" xfId="0" applyFont="1" applyFill="1" applyBorder="1" applyAlignment="1">
      <alignment vertical="top" wrapText="1"/>
    </xf>
    <xf numFmtId="0" fontId="26" fillId="0" borderId="17" xfId="0" applyFont="1" applyFill="1" applyBorder="1" applyAlignment="1">
      <alignment vertical="top" wrapText="1"/>
    </xf>
    <xf numFmtId="0" fontId="23" fillId="0" borderId="20" xfId="0" applyFont="1" applyFill="1" applyBorder="1" applyAlignment="1">
      <alignment vertical="top" wrapText="1"/>
    </xf>
    <xf numFmtId="0" fontId="23" fillId="0" borderId="17" xfId="0" applyFont="1" applyBorder="1" applyAlignment="1">
      <alignment vertical="top" wrapText="1"/>
    </xf>
    <xf numFmtId="0" fontId="26" fillId="0" borderId="0" xfId="0" applyFont="1" applyAlignment="1">
      <alignment vertical="top" wrapText="1"/>
    </xf>
    <xf numFmtId="168" fontId="5" fillId="5" borderId="21" xfId="0" applyNumberFormat="1" applyFont="1" applyFill="1" applyBorder="1" applyAlignment="1">
      <alignment horizontal="center" vertical="top" wrapText="1"/>
    </xf>
    <xf numFmtId="0" fontId="13" fillId="9" borderId="0" xfId="0" applyFont="1" applyFill="1" applyBorder="1" applyAlignment="1">
      <alignment horizontal="center" vertical="top" wrapText="1"/>
    </xf>
    <xf numFmtId="0" fontId="5" fillId="9" borderId="0" xfId="0" applyFont="1" applyFill="1" applyBorder="1" applyAlignment="1">
      <alignment horizontal="left" vertical="top" wrapText="1"/>
    </xf>
    <xf numFmtId="0" fontId="5" fillId="9" borderId="0" xfId="0" applyFont="1" applyFill="1" applyBorder="1" applyAlignment="1">
      <alignment vertical="top"/>
    </xf>
    <xf numFmtId="165" fontId="5" fillId="9" borderId="0" xfId="6" applyFont="1" applyFill="1" applyBorder="1" applyAlignment="1">
      <alignment horizontal="center" vertical="top" wrapText="1"/>
    </xf>
    <xf numFmtId="0" fontId="5" fillId="2" borderId="0" xfId="0" applyFont="1" applyFill="1" applyBorder="1" applyAlignment="1">
      <alignment vertical="top" wrapText="1"/>
    </xf>
    <xf numFmtId="165" fontId="5" fillId="2" borderId="0" xfId="0" applyNumberFormat="1" applyFont="1" applyFill="1" applyBorder="1" applyAlignment="1">
      <alignment horizontal="center" vertical="top" wrapText="1"/>
    </xf>
    <xf numFmtId="165" fontId="5" fillId="2" borderId="0" xfId="6" applyFont="1" applyFill="1" applyBorder="1" applyAlignment="1">
      <alignment horizontal="center" vertical="top" wrapText="1"/>
    </xf>
    <xf numFmtId="0" fontId="13" fillId="2" borderId="0" xfId="0" applyNumberFormat="1" applyFont="1" applyFill="1" applyBorder="1" applyAlignment="1">
      <alignment horizontal="center" vertical="top" wrapText="1"/>
    </xf>
    <xf numFmtId="0" fontId="5"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165" fontId="5" fillId="2" borderId="0" xfId="6" applyNumberFormat="1" applyFont="1" applyFill="1" applyBorder="1" applyAlignment="1">
      <alignment horizontal="center" vertical="top" wrapText="1"/>
    </xf>
    <xf numFmtId="165" fontId="5" fillId="0" borderId="16" xfId="0" applyNumberFormat="1" applyFont="1" applyBorder="1" applyAlignment="1">
      <alignment vertical="top" wrapText="1"/>
    </xf>
    <xf numFmtId="165" fontId="5" fillId="0" borderId="17" xfId="0" applyNumberFormat="1" applyFont="1" applyBorder="1" applyAlignment="1">
      <alignment vertical="top" wrapText="1"/>
    </xf>
    <xf numFmtId="165" fontId="20" fillId="0" borderId="20" xfId="0" applyNumberFormat="1" applyFont="1" applyBorder="1" applyAlignment="1">
      <alignment vertical="top" wrapText="1"/>
    </xf>
    <xf numFmtId="168" fontId="5" fillId="0" borderId="16" xfId="0" applyNumberFormat="1" applyFont="1" applyBorder="1" applyAlignment="1">
      <alignment horizontal="center" vertical="top" wrapText="1"/>
    </xf>
    <xf numFmtId="0" fontId="29" fillId="0" borderId="16" xfId="0" applyFont="1" applyBorder="1" applyAlignment="1">
      <alignment vertical="top" wrapText="1"/>
    </xf>
    <xf numFmtId="0" fontId="27" fillId="0" borderId="20" xfId="0" applyNumberFormat="1" applyFont="1" applyBorder="1" applyAlignment="1">
      <alignment horizontal="left" vertical="top"/>
    </xf>
    <xf numFmtId="0" fontId="27" fillId="0" borderId="20" xfId="0" applyFont="1" applyBorder="1" applyAlignment="1">
      <alignment vertical="top" wrapText="1"/>
    </xf>
    <xf numFmtId="0" fontId="28" fillId="0" borderId="20" xfId="0" applyFont="1" applyFill="1" applyBorder="1" applyAlignment="1">
      <alignment vertical="top" wrapText="1"/>
    </xf>
    <xf numFmtId="168" fontId="27" fillId="0" borderId="20" xfId="0" applyNumberFormat="1" applyFont="1" applyFill="1" applyBorder="1" applyAlignment="1">
      <alignment horizontal="center" vertical="top" wrapText="1"/>
    </xf>
    <xf numFmtId="166" fontId="27" fillId="0" borderId="20" xfId="0" applyNumberFormat="1" applyFont="1" applyBorder="1" applyAlignment="1">
      <alignment horizontal="center" vertical="top" wrapText="1"/>
    </xf>
    <xf numFmtId="165" fontId="27" fillId="0" borderId="20" xfId="0" applyNumberFormat="1" applyFont="1" applyBorder="1" applyAlignment="1">
      <alignment horizontal="center" vertical="top" wrapText="1"/>
    </xf>
    <xf numFmtId="166" fontId="27" fillId="7" borderId="19" xfId="0" applyNumberFormat="1" applyFont="1" applyFill="1" applyBorder="1" applyAlignment="1">
      <alignment horizontal="center" vertical="top" wrapText="1"/>
    </xf>
    <xf numFmtId="168" fontId="5" fillId="5" borderId="23" xfId="0" applyNumberFormat="1" applyFont="1" applyFill="1" applyBorder="1" applyAlignment="1">
      <alignment horizontal="center" vertical="top" wrapText="1"/>
    </xf>
    <xf numFmtId="168" fontId="5" fillId="5" borderId="24" xfId="0" applyNumberFormat="1" applyFont="1" applyFill="1" applyBorder="1" applyAlignment="1">
      <alignment horizontal="center" vertical="top" wrapText="1"/>
    </xf>
    <xf numFmtId="168" fontId="5" fillId="5" borderId="22" xfId="0" applyNumberFormat="1" applyFont="1" applyFill="1" applyBorder="1" applyAlignment="1">
      <alignment horizontal="center" vertical="top" wrapText="1"/>
    </xf>
    <xf numFmtId="0" fontId="5" fillId="0" borderId="16" xfId="0" applyFont="1" applyBorder="1" applyAlignment="1">
      <alignment horizontal="center" vertical="top" wrapText="1"/>
    </xf>
    <xf numFmtId="0" fontId="20" fillId="0" borderId="20" xfId="0" applyFont="1" applyBorder="1" applyAlignment="1">
      <alignment horizontal="center" vertical="top" wrapText="1"/>
    </xf>
    <xf numFmtId="0" fontId="27" fillId="0" borderId="20" xfId="0" applyFont="1" applyBorder="1" applyAlignment="1">
      <alignment horizontal="center" vertical="top" wrapText="1"/>
    </xf>
    <xf numFmtId="165" fontId="5" fillId="0" borderId="17" xfId="0" applyNumberFormat="1" applyFont="1" applyFill="1" applyBorder="1" applyAlignment="1">
      <alignment horizontal="center" vertical="top" wrapText="1"/>
    </xf>
    <xf numFmtId="0" fontId="20" fillId="0" borderId="17" xfId="0" applyFont="1" applyBorder="1" applyAlignment="1">
      <alignment horizontal="center" vertical="top" wrapText="1"/>
    </xf>
    <xf numFmtId="0" fontId="23" fillId="0" borderId="17" xfId="0" applyFont="1" applyFill="1" applyBorder="1" applyAlignment="1">
      <alignment vertical="top" wrapText="1"/>
    </xf>
    <xf numFmtId="168" fontId="20" fillId="0" borderId="0" xfId="0" applyNumberFormat="1" applyFont="1" applyFill="1" applyBorder="1" applyAlignment="1">
      <alignment horizontal="center" vertical="top" wrapText="1"/>
    </xf>
    <xf numFmtId="166" fontId="20" fillId="0" borderId="17" xfId="0" applyNumberFormat="1" applyFont="1" applyBorder="1" applyAlignment="1">
      <alignment horizontal="center" vertical="top" wrapText="1"/>
    </xf>
    <xf numFmtId="165" fontId="20" fillId="0" borderId="17" xfId="0" applyNumberFormat="1" applyFont="1" applyFill="1" applyBorder="1" applyAlignment="1">
      <alignment horizontal="center" vertical="top" wrapText="1"/>
    </xf>
    <xf numFmtId="166" fontId="20" fillId="7" borderId="18" xfId="0" applyNumberFormat="1" applyFont="1" applyFill="1" applyBorder="1" applyAlignment="1">
      <alignment horizontal="center" vertical="top" wrapText="1"/>
    </xf>
    <xf numFmtId="9" fontId="26" fillId="0" borderId="16" xfId="4" applyNumberFormat="1" applyFont="1" applyFill="1" applyBorder="1" applyAlignment="1">
      <alignment vertical="top" wrapText="1"/>
    </xf>
    <xf numFmtId="9" fontId="5" fillId="0" borderId="16" xfId="4" applyNumberFormat="1" applyFont="1" applyFill="1" applyBorder="1" applyAlignment="1">
      <alignment vertical="top" wrapText="1"/>
    </xf>
    <xf numFmtId="9" fontId="23" fillId="0" borderId="17" xfId="4" applyNumberFormat="1" applyFont="1" applyFill="1" applyBorder="1" applyAlignment="1">
      <alignment vertical="top" wrapText="1"/>
    </xf>
    <xf numFmtId="168" fontId="20" fillId="0" borderId="17" xfId="0" applyNumberFormat="1" applyFont="1" applyFill="1" applyBorder="1" applyAlignment="1">
      <alignment horizontal="center" vertical="top" wrapText="1"/>
    </xf>
    <xf numFmtId="9" fontId="23" fillId="0" borderId="20" xfId="4" applyNumberFormat="1" applyFont="1" applyFill="1" applyBorder="1" applyAlignment="1">
      <alignment vertical="top" wrapText="1"/>
    </xf>
    <xf numFmtId="165" fontId="20" fillId="0" borderId="17" xfId="0" applyNumberFormat="1" applyFont="1" applyBorder="1" applyAlignment="1">
      <alignment vertical="top" wrapText="1"/>
    </xf>
    <xf numFmtId="165" fontId="27" fillId="0" borderId="20" xfId="0" applyNumberFormat="1" applyFont="1" applyBorder="1" applyAlignment="1">
      <alignment vertical="top" wrapText="1"/>
    </xf>
    <xf numFmtId="0" fontId="23" fillId="0" borderId="20" xfId="0" applyFont="1" applyBorder="1" applyAlignment="1">
      <alignment vertical="top" wrapText="1"/>
    </xf>
    <xf numFmtId="168" fontId="20" fillId="0" borderId="20" xfId="0" applyNumberFormat="1" applyFont="1" applyBorder="1" applyAlignment="1">
      <alignment horizontal="center" vertical="top" wrapText="1"/>
    </xf>
    <xf numFmtId="0" fontId="26" fillId="0" borderId="16" xfId="0" applyFont="1" applyBorder="1" applyAlignment="1">
      <alignment vertical="top" wrapText="1"/>
    </xf>
    <xf numFmtId="168" fontId="20" fillId="0" borderId="17" xfId="0" applyNumberFormat="1" applyFont="1" applyBorder="1" applyAlignment="1">
      <alignment horizontal="center" vertical="top" wrapText="1"/>
    </xf>
    <xf numFmtId="0" fontId="20" fillId="0" borderId="0" xfId="0" applyNumberFormat="1" applyFont="1" applyFill="1" applyBorder="1" applyAlignment="1">
      <alignment horizontal="center" vertical="top" wrapText="1"/>
    </xf>
    <xf numFmtId="0" fontId="20" fillId="0" borderId="20" xfId="0" applyNumberFormat="1" applyFont="1" applyFill="1" applyBorder="1" applyAlignment="1">
      <alignment horizontal="center" vertical="top" wrapText="1"/>
    </xf>
    <xf numFmtId="165" fontId="5" fillId="0" borderId="16" xfId="4" applyNumberFormat="1" applyFont="1" applyFill="1" applyBorder="1" applyAlignment="1">
      <alignment vertical="top" wrapText="1"/>
    </xf>
    <xf numFmtId="9" fontId="5" fillId="0" borderId="16" xfId="4" applyNumberFormat="1" applyFont="1" applyFill="1" applyBorder="1" applyAlignment="1">
      <alignment horizontal="center" vertical="top" wrapText="1"/>
    </xf>
    <xf numFmtId="165" fontId="5" fillId="5" borderId="21"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17" xfId="0" applyNumberFormat="1" applyFont="1" applyFill="1" applyBorder="1" applyAlignment="1">
      <alignment horizontal="center" vertical="top" wrapText="1"/>
    </xf>
    <xf numFmtId="0" fontId="4" fillId="0" borderId="0" xfId="0" applyNumberFormat="1" applyFont="1" applyAlignment="1">
      <alignment vertical="top" wrapText="1"/>
    </xf>
    <xf numFmtId="0" fontId="5" fillId="0" borderId="0" xfId="0" applyFont="1" applyFill="1" applyAlignment="1">
      <alignment horizontal="center" vertical="top" wrapText="1"/>
    </xf>
    <xf numFmtId="0" fontId="4" fillId="0" borderId="0" xfId="0" applyFont="1" applyAlignment="1">
      <alignment horizontal="center" vertical="center" wrapText="1"/>
    </xf>
    <xf numFmtId="168" fontId="5" fillId="0" borderId="25" xfId="0" applyNumberFormat="1" applyFont="1" applyBorder="1" applyAlignment="1">
      <alignment horizontal="center" vertical="top" wrapText="1"/>
    </xf>
    <xf numFmtId="174" fontId="5" fillId="10" borderId="0" xfId="0" applyNumberFormat="1" applyFont="1" applyFill="1" applyAlignment="1">
      <alignment horizontal="center" vertical="top"/>
    </xf>
    <xf numFmtId="189" fontId="5" fillId="0" borderId="0" xfId="0" applyNumberFormat="1" applyFont="1" applyAlignment="1">
      <alignment horizontal="center" vertical="top" wrapText="1"/>
    </xf>
    <xf numFmtId="186" fontId="5" fillId="10" borderId="0" xfId="0" applyNumberFormat="1" applyFont="1" applyFill="1" applyAlignment="1">
      <alignment horizontal="center" vertical="top"/>
    </xf>
    <xf numFmtId="194" fontId="5" fillId="0" borderId="0" xfId="0" applyNumberFormat="1" applyFont="1" applyAlignment="1">
      <alignment horizontal="center" vertical="top" wrapText="1"/>
    </xf>
    <xf numFmtId="171" fontId="5" fillId="0" borderId="0" xfId="0" applyNumberFormat="1" applyFont="1" applyFill="1" applyAlignment="1">
      <alignment horizontal="center" vertical="top" wrapText="1"/>
    </xf>
    <xf numFmtId="194" fontId="5" fillId="0" borderId="0" xfId="4" applyNumberFormat="1" applyFont="1" applyBorder="1" applyAlignment="1">
      <alignment horizontal="center" vertical="top" wrapText="1"/>
    </xf>
    <xf numFmtId="194" fontId="5" fillId="0" borderId="0" xfId="4" applyNumberFormat="1" applyFont="1" applyAlignment="1">
      <alignment horizontal="center" vertical="top" wrapText="1"/>
    </xf>
    <xf numFmtId="0" fontId="0" fillId="2" borderId="11" xfId="0" applyFont="1" applyFill="1" applyBorder="1" applyAlignment="1">
      <alignment vertical="top"/>
    </xf>
    <xf numFmtId="0" fontId="0" fillId="2" borderId="12" xfId="0" applyFill="1" applyBorder="1" applyAlignment="1">
      <alignment vertical="top"/>
    </xf>
    <xf numFmtId="0" fontId="0" fillId="2" borderId="13" xfId="0" applyFill="1" applyBorder="1" applyAlignment="1">
      <alignment vertical="top"/>
    </xf>
    <xf numFmtId="165" fontId="5" fillId="0" borderId="0" xfId="0" applyNumberFormat="1" applyFont="1" applyFill="1" applyBorder="1" applyAlignment="1">
      <alignment horizontal="center" vertical="top"/>
    </xf>
    <xf numFmtId="0" fontId="13" fillId="0" borderId="16" xfId="0" applyFont="1" applyBorder="1" applyAlignment="1">
      <alignment horizontal="center" vertical="top" wrapText="1"/>
    </xf>
    <xf numFmtId="0" fontId="5" fillId="0" borderId="16" xfId="0" applyFont="1" applyBorder="1" applyAlignment="1">
      <alignment horizontal="left" vertical="top" wrapText="1"/>
    </xf>
    <xf numFmtId="0" fontId="5" fillId="0" borderId="16" xfId="0" applyFont="1" applyBorder="1" applyAlignment="1">
      <alignment vertical="top"/>
    </xf>
    <xf numFmtId="165" fontId="5" fillId="0" borderId="16" xfId="6" applyNumberFormat="1" applyFont="1" applyBorder="1" applyAlignment="1">
      <alignment horizontal="center" vertical="top" wrapText="1"/>
    </xf>
    <xf numFmtId="168" fontId="13" fillId="0" borderId="16" xfId="6" applyNumberFormat="1" applyFont="1" applyFill="1" applyBorder="1" applyAlignment="1">
      <alignment horizontal="center" vertical="top" wrapText="1"/>
    </xf>
    <xf numFmtId="165" fontId="5" fillId="0" borderId="16" xfId="0" applyNumberFormat="1" applyFont="1" applyFill="1" applyBorder="1" applyAlignment="1">
      <alignment horizontal="center" vertical="top" wrapText="1"/>
    </xf>
    <xf numFmtId="165" fontId="13" fillId="0" borderId="16" xfId="6" applyFont="1" applyBorder="1" applyAlignment="1">
      <alignment horizontal="center" vertical="top" wrapText="1"/>
    </xf>
    <xf numFmtId="165" fontId="5" fillId="0" borderId="16" xfId="6" applyFont="1" applyBorder="1" applyAlignment="1">
      <alignment horizontal="center" vertical="top" wrapText="1"/>
    </xf>
    <xf numFmtId="165" fontId="13" fillId="0" borderId="16" xfId="6" applyFont="1" applyFill="1" applyBorder="1" applyAlignment="1">
      <alignment horizontal="center" vertical="top" wrapText="1"/>
    </xf>
    <xf numFmtId="0" fontId="13" fillId="0" borderId="17" xfId="0" applyFont="1" applyBorder="1" applyAlignment="1">
      <alignment horizontal="center" vertical="top" wrapText="1"/>
    </xf>
    <xf numFmtId="0" fontId="5" fillId="0" borderId="17" xfId="0" applyFont="1" applyBorder="1" applyAlignment="1">
      <alignment horizontal="left" vertical="top" wrapText="1"/>
    </xf>
    <xf numFmtId="0" fontId="5" fillId="7" borderId="26" xfId="0" applyFont="1" applyFill="1" applyBorder="1" applyAlignment="1">
      <alignment vertical="top" wrapText="1"/>
    </xf>
    <xf numFmtId="165" fontId="12" fillId="0" borderId="17" xfId="6" applyNumberFormat="1" applyFont="1" applyFill="1" applyBorder="1" applyAlignment="1">
      <alignment horizontal="center" vertical="top" wrapText="1"/>
    </xf>
    <xf numFmtId="165" fontId="12" fillId="0" borderId="17" xfId="6" applyFont="1" applyFill="1" applyBorder="1" applyAlignment="1">
      <alignment horizontal="center" vertical="top" wrapText="1"/>
    </xf>
    <xf numFmtId="165" fontId="5" fillId="0" borderId="17" xfId="6" applyFont="1" applyBorder="1" applyAlignment="1">
      <alignment horizontal="center" vertical="top" wrapText="1"/>
    </xf>
    <xf numFmtId="0" fontId="13" fillId="2" borderId="20" xfId="0" applyFont="1" applyFill="1" applyBorder="1" applyAlignment="1">
      <alignment horizontal="center" vertical="top" wrapText="1"/>
    </xf>
    <xf numFmtId="0" fontId="5" fillId="2" borderId="20" xfId="0" applyFont="1" applyFill="1" applyBorder="1" applyAlignment="1">
      <alignment horizontal="left" vertical="top" wrapText="1"/>
    </xf>
    <xf numFmtId="0" fontId="5" fillId="2" borderId="20" xfId="0" applyFont="1" applyFill="1" applyBorder="1" applyAlignment="1">
      <alignment vertical="top"/>
    </xf>
    <xf numFmtId="0" fontId="5" fillId="2" borderId="20" xfId="0" applyFont="1" applyFill="1" applyBorder="1" applyAlignment="1">
      <alignment vertical="top" wrapText="1"/>
    </xf>
    <xf numFmtId="165" fontId="5" fillId="2" borderId="20" xfId="0" applyNumberFormat="1" applyFont="1" applyFill="1" applyBorder="1" applyAlignment="1">
      <alignment horizontal="center" vertical="top" wrapText="1"/>
    </xf>
    <xf numFmtId="166" fontId="5" fillId="2" borderId="20" xfId="0" applyNumberFormat="1" applyFont="1" applyFill="1" applyBorder="1" applyAlignment="1">
      <alignment horizontal="center" vertical="top" wrapText="1"/>
    </xf>
    <xf numFmtId="165" fontId="5" fillId="2" borderId="20" xfId="6" applyFont="1" applyFill="1" applyBorder="1" applyAlignment="1">
      <alignment horizontal="center" vertical="top" wrapText="1"/>
    </xf>
    <xf numFmtId="9" fontId="5" fillId="0" borderId="16" xfId="0" applyNumberFormat="1" applyFont="1" applyBorder="1" applyAlignment="1">
      <alignment horizontal="center" vertical="top" wrapText="1"/>
    </xf>
    <xf numFmtId="165" fontId="5" fillId="0" borderId="17" xfId="6" applyNumberFormat="1" applyFont="1" applyFill="1" applyBorder="1" applyAlignment="1">
      <alignment horizontal="center" vertical="top" wrapText="1"/>
    </xf>
    <xf numFmtId="165" fontId="5" fillId="0" borderId="17" xfId="6" applyFont="1" applyFill="1" applyBorder="1" applyAlignment="1">
      <alignment horizontal="center" vertical="top" wrapText="1"/>
    </xf>
    <xf numFmtId="182" fontId="5" fillId="0" borderId="16" xfId="0" applyNumberFormat="1" applyFont="1" applyFill="1" applyBorder="1" applyAlignment="1">
      <alignment horizontal="center" vertical="top" wrapText="1"/>
    </xf>
    <xf numFmtId="192" fontId="5" fillId="0" borderId="16" xfId="0" applyNumberFormat="1" applyFont="1" applyFill="1" applyBorder="1" applyAlignment="1">
      <alignment horizontal="center" vertical="top" wrapText="1"/>
    </xf>
    <xf numFmtId="165" fontId="5" fillId="0" borderId="16" xfId="6" applyFont="1" applyFill="1" applyBorder="1" applyAlignment="1">
      <alignment horizontal="center" vertical="top" wrapText="1"/>
    </xf>
    <xf numFmtId="0" fontId="13" fillId="0" borderId="16" xfId="0" applyNumberFormat="1" applyFont="1" applyFill="1" applyBorder="1" applyAlignment="1">
      <alignment horizontal="center" vertical="top" wrapText="1"/>
    </xf>
    <xf numFmtId="0" fontId="5" fillId="0" borderId="16" xfId="0" applyNumberFormat="1" applyFont="1" applyFill="1" applyBorder="1" applyAlignment="1">
      <alignment horizontal="left" vertical="top"/>
    </xf>
    <xf numFmtId="0" fontId="5" fillId="0" borderId="16" xfId="0" applyFont="1" applyFill="1" applyBorder="1" applyAlignment="1">
      <alignment horizontal="left" vertical="top"/>
    </xf>
    <xf numFmtId="165" fontId="5" fillId="0" borderId="16" xfId="6" applyNumberFormat="1" applyFont="1" applyFill="1" applyBorder="1" applyAlignment="1">
      <alignment horizontal="center" vertical="top" wrapText="1"/>
    </xf>
    <xf numFmtId="193" fontId="5" fillId="0" borderId="16" xfId="0" applyNumberFormat="1" applyFont="1" applyFill="1" applyBorder="1" applyAlignment="1">
      <alignment horizontal="center" vertical="top" wrapText="1"/>
    </xf>
    <xf numFmtId="165" fontId="5" fillId="0" borderId="16" xfId="0" applyNumberFormat="1" applyFont="1" applyFill="1" applyBorder="1" applyAlignment="1">
      <alignment horizontal="center" vertical="top"/>
    </xf>
    <xf numFmtId="191" fontId="5" fillId="0" borderId="16" xfId="0" applyNumberFormat="1" applyFont="1" applyFill="1" applyBorder="1" applyAlignment="1">
      <alignment horizontal="center" vertical="top"/>
    </xf>
    <xf numFmtId="0" fontId="13" fillId="0" borderId="17" xfId="0" applyNumberFormat="1" applyFont="1" applyFill="1" applyBorder="1" applyAlignment="1">
      <alignment horizontal="center" vertical="top" wrapText="1"/>
    </xf>
    <xf numFmtId="0" fontId="5" fillId="0" borderId="17" xfId="0" applyNumberFormat="1" applyFont="1" applyFill="1" applyBorder="1" applyAlignment="1">
      <alignment horizontal="left" vertical="top"/>
    </xf>
    <xf numFmtId="0" fontId="5" fillId="0" borderId="17" xfId="0" applyFont="1" applyFill="1" applyBorder="1" applyAlignment="1">
      <alignment horizontal="left" vertical="top"/>
    </xf>
    <xf numFmtId="165" fontId="5" fillId="0" borderId="17" xfId="0" applyNumberFormat="1" applyFont="1" applyFill="1" applyBorder="1" applyAlignment="1">
      <alignment horizontal="center" vertical="top"/>
    </xf>
    <xf numFmtId="0" fontId="5" fillId="2" borderId="26" xfId="0" applyFont="1" applyFill="1" applyBorder="1" applyAlignment="1">
      <alignment vertical="top" wrapText="1"/>
    </xf>
    <xf numFmtId="0" fontId="13" fillId="2" borderId="20" xfId="0" applyNumberFormat="1" applyFont="1" applyFill="1" applyBorder="1" applyAlignment="1">
      <alignment horizontal="center" vertical="top" wrapText="1"/>
    </xf>
    <xf numFmtId="0" fontId="5" fillId="2" borderId="20" xfId="0" applyNumberFormat="1" applyFont="1" applyFill="1" applyBorder="1" applyAlignment="1">
      <alignment horizontal="left" vertical="top"/>
    </xf>
    <xf numFmtId="0" fontId="5" fillId="2" borderId="20" xfId="0" applyFont="1" applyFill="1" applyBorder="1" applyAlignment="1">
      <alignment horizontal="left" vertical="top"/>
    </xf>
    <xf numFmtId="165" fontId="5" fillId="2" borderId="20" xfId="6" applyNumberFormat="1" applyFont="1" applyFill="1" applyBorder="1" applyAlignment="1">
      <alignment horizontal="center" vertical="top" wrapText="1"/>
    </xf>
    <xf numFmtId="182" fontId="5" fillId="2" borderId="20" xfId="0" applyNumberFormat="1" applyFont="1" applyFill="1" applyBorder="1" applyAlignment="1">
      <alignment horizontal="center" vertical="top" wrapText="1"/>
    </xf>
    <xf numFmtId="168" fontId="5" fillId="7" borderId="26" xfId="0"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9" fontId="5" fillId="0" borderId="0" xfId="0" applyNumberFormat="1" applyFont="1" applyFill="1" applyBorder="1" applyAlignment="1">
      <alignment horizontal="center" vertical="top" wrapText="1"/>
    </xf>
    <xf numFmtId="165" fontId="20" fillId="14" borderId="17" xfId="0" applyNumberFormat="1" applyFont="1" applyFill="1" applyBorder="1" applyAlignment="1">
      <alignment horizontal="center" vertical="top" wrapText="1"/>
    </xf>
    <xf numFmtId="165" fontId="5" fillId="14" borderId="16" xfId="6" applyFont="1" applyFill="1" applyBorder="1" applyAlignment="1">
      <alignment horizontal="center" vertical="top" wrapText="1"/>
    </xf>
    <xf numFmtId="165" fontId="5" fillId="14" borderId="17" xfId="6" applyFont="1" applyFill="1" applyBorder="1" applyAlignment="1">
      <alignment horizontal="center" vertical="top" wrapText="1"/>
    </xf>
    <xf numFmtId="0" fontId="5" fillId="5" borderId="0" xfId="0" applyFont="1" applyFill="1" applyBorder="1" applyAlignment="1">
      <alignment horizontal="center" vertical="top" wrapText="1"/>
    </xf>
    <xf numFmtId="183" fontId="5" fillId="10" borderId="0" xfId="6" applyNumberFormat="1" applyFont="1" applyFill="1" applyAlignment="1">
      <alignment horizontal="center" vertical="top"/>
    </xf>
    <xf numFmtId="183" fontId="5" fillId="14" borderId="0" xfId="6" applyNumberFormat="1" applyFont="1" applyFill="1" applyAlignment="1">
      <alignment horizontal="center" vertical="top"/>
    </xf>
    <xf numFmtId="165" fontId="5" fillId="2" borderId="0" xfId="0" applyNumberFormat="1" applyFont="1" applyFill="1" applyBorder="1" applyAlignment="1">
      <alignment horizontal="center" vertical="top"/>
    </xf>
    <xf numFmtId="168" fontId="5" fillId="2" borderId="0" xfId="0" applyNumberFormat="1" applyFont="1" applyFill="1" applyBorder="1" applyAlignment="1">
      <alignment horizontal="center" vertical="top" wrapText="1"/>
    </xf>
    <xf numFmtId="0" fontId="5" fillId="2" borderId="0" xfId="0" applyNumberFormat="1" applyFont="1" applyFill="1" applyBorder="1" applyAlignment="1">
      <alignment horizontal="center" vertical="top" wrapText="1"/>
    </xf>
    <xf numFmtId="168" fontId="5" fillId="2" borderId="26" xfId="0" applyNumberFormat="1" applyFont="1" applyFill="1" applyBorder="1" applyAlignment="1">
      <alignment horizontal="center" vertical="top" wrapText="1"/>
    </xf>
    <xf numFmtId="9" fontId="5" fillId="0" borderId="16" xfId="6" applyNumberFormat="1" applyFont="1" applyFill="1" applyBorder="1" applyAlignment="1">
      <alignment horizontal="center" vertical="top" wrapText="1"/>
    </xf>
    <xf numFmtId="9" fontId="5" fillId="0" borderId="17" xfId="6" applyNumberFormat="1" applyFont="1" applyFill="1" applyBorder="1" applyAlignment="1">
      <alignment horizontal="center" vertical="top" wrapText="1"/>
    </xf>
    <xf numFmtId="9" fontId="5" fillId="0" borderId="17" xfId="4" applyFont="1" applyBorder="1" applyAlignment="1">
      <alignment horizontal="center" vertical="top" wrapText="1"/>
    </xf>
    <xf numFmtId="195" fontId="5" fillId="10" borderId="0" xfId="6" applyNumberFormat="1" applyFont="1" applyFill="1" applyAlignment="1">
      <alignment horizontal="center" vertical="top"/>
    </xf>
    <xf numFmtId="0" fontId="0" fillId="2" borderId="11" xfId="0" applyFill="1" applyBorder="1" applyAlignment="1">
      <alignment vertical="top"/>
    </xf>
    <xf numFmtId="0" fontId="0" fillId="2" borderId="12" xfId="0" applyFill="1" applyBorder="1" applyAlignment="1">
      <alignment horizontal="right" vertical="top"/>
    </xf>
    <xf numFmtId="0" fontId="19" fillId="0" borderId="0" xfId="0" applyNumberFormat="1" applyFont="1" applyBorder="1" applyAlignment="1">
      <alignment horizontal="center" vertical="top"/>
    </xf>
    <xf numFmtId="0" fontId="20" fillId="0" borderId="0" xfId="0" applyFont="1" applyBorder="1" applyAlignment="1">
      <alignment vertical="top" wrapText="1"/>
    </xf>
    <xf numFmtId="168" fontId="20" fillId="5" borderId="30" xfId="0" applyNumberFormat="1" applyFont="1" applyFill="1" applyBorder="1" applyAlignment="1">
      <alignment horizontal="center" vertical="top" wrapText="1"/>
    </xf>
    <xf numFmtId="166" fontId="20" fillId="0" borderId="29" xfId="0" applyNumberFormat="1" applyFont="1" applyBorder="1" applyAlignment="1">
      <alignment horizontal="center" vertical="top" wrapText="1"/>
    </xf>
    <xf numFmtId="0" fontId="20" fillId="5" borderId="30" xfId="0" applyNumberFormat="1" applyFont="1" applyFill="1" applyBorder="1" applyAlignment="1">
      <alignment horizontal="center" vertical="top" wrapText="1"/>
    </xf>
    <xf numFmtId="0" fontId="15" fillId="0" borderId="0" xfId="0" applyFont="1" applyBorder="1" applyAlignment="1">
      <alignment vertical="top" wrapText="1"/>
    </xf>
    <xf numFmtId="0" fontId="15" fillId="0" borderId="0" xfId="4" applyNumberFormat="1" applyFont="1" applyBorder="1" applyAlignment="1">
      <alignment vertical="top" wrapText="1"/>
    </xf>
    <xf numFmtId="166" fontId="20" fillId="0" borderId="0" xfId="0" applyNumberFormat="1" applyFont="1" applyBorder="1" applyAlignment="1">
      <alignment horizontal="center" vertical="top" wrapText="1"/>
    </xf>
    <xf numFmtId="0" fontId="19" fillId="0" borderId="0" xfId="4" applyNumberFormat="1" applyFont="1" applyBorder="1" applyAlignment="1">
      <alignment horizontal="center" vertical="top"/>
    </xf>
    <xf numFmtId="0" fontId="20" fillId="0" borderId="0" xfId="4" applyNumberFormat="1" applyFont="1" applyBorder="1" applyAlignment="1">
      <alignment vertical="top" wrapText="1"/>
    </xf>
    <xf numFmtId="9" fontId="20" fillId="0" borderId="0" xfId="4" applyFont="1" applyBorder="1" applyAlignment="1">
      <alignment vertical="top" wrapText="1"/>
    </xf>
    <xf numFmtId="9" fontId="20" fillId="0" borderId="0" xfId="4" applyNumberFormat="1" applyFont="1" applyBorder="1" applyAlignment="1">
      <alignment horizontal="center" vertical="top" wrapText="1"/>
    </xf>
    <xf numFmtId="165" fontId="20" fillId="5" borderId="30" xfId="0" applyNumberFormat="1" applyFont="1" applyFill="1" applyBorder="1" applyAlignment="1">
      <alignment horizontal="center" vertical="top" wrapText="1"/>
    </xf>
    <xf numFmtId="0" fontId="0" fillId="0" borderId="3" xfId="0" applyNumberFormat="1" applyBorder="1" applyAlignment="1">
      <alignment horizontal="center" vertical="center" wrapText="1"/>
    </xf>
    <xf numFmtId="164" fontId="0" fillId="0" borderId="4" xfId="6" applyNumberFormat="1" applyFont="1" applyBorder="1" applyAlignment="1">
      <alignment horizontal="center" vertical="top"/>
    </xf>
    <xf numFmtId="164" fontId="0" fillId="2" borderId="13" xfId="0" applyNumberFormat="1" applyFill="1" applyBorder="1" applyAlignment="1">
      <alignment horizontal="center" vertical="top"/>
    </xf>
    <xf numFmtId="196" fontId="5" fillId="10" borderId="0" xfId="0" applyNumberFormat="1" applyFont="1" applyFill="1" applyBorder="1" applyAlignment="1">
      <alignment horizontal="center" vertical="top" wrapText="1"/>
    </xf>
    <xf numFmtId="196" fontId="5" fillId="0" borderId="0" xfId="0" applyNumberFormat="1" applyFont="1" applyFill="1" applyAlignment="1">
      <alignment horizontal="center" vertical="top" wrapText="1"/>
    </xf>
    <xf numFmtId="196" fontId="5" fillId="0" borderId="0" xfId="0" applyNumberFormat="1" applyFont="1" applyFill="1" applyBorder="1" applyAlignment="1">
      <alignment horizontal="center" vertical="top" wrapText="1"/>
    </xf>
    <xf numFmtId="165" fontId="5" fillId="0" borderId="16" xfId="6" applyNumberFormat="1" applyFont="1" applyFill="1" applyBorder="1" applyAlignment="1">
      <alignment horizontal="center" vertical="top"/>
    </xf>
    <xf numFmtId="165" fontId="5" fillId="10" borderId="0" xfId="6" applyNumberFormat="1" applyFont="1" applyFill="1" applyAlignment="1">
      <alignment horizontal="center" vertical="top" wrapText="1"/>
    </xf>
    <xf numFmtId="165" fontId="5" fillId="10" borderId="0" xfId="6" applyFont="1" applyFill="1" applyAlignment="1">
      <alignment horizontal="center" vertical="top" wrapText="1"/>
    </xf>
    <xf numFmtId="0" fontId="33" fillId="8" borderId="0" xfId="0" applyFont="1" applyFill="1" applyBorder="1" applyAlignment="1">
      <alignment horizontal="center" vertical="center" wrapText="1"/>
    </xf>
    <xf numFmtId="166" fontId="33" fillId="0" borderId="0" xfId="0" applyNumberFormat="1" applyFont="1" applyBorder="1" applyAlignment="1">
      <alignment horizontal="center" vertical="top" wrapText="1"/>
    </xf>
    <xf numFmtId="0" fontId="9" fillId="0" borderId="0" xfId="0" applyFont="1"/>
    <xf numFmtId="166" fontId="34" fillId="0" borderId="20" xfId="0" applyNumberFormat="1" applyFont="1" applyBorder="1" applyAlignment="1">
      <alignment vertical="top" wrapText="1"/>
    </xf>
    <xf numFmtId="166" fontId="34" fillId="0" borderId="16" xfId="0" applyNumberFormat="1" applyFont="1" applyBorder="1" applyAlignment="1">
      <alignment vertical="top" wrapText="1"/>
    </xf>
    <xf numFmtId="166" fontId="34" fillId="0" borderId="17" xfId="0" applyNumberFormat="1" applyFont="1" applyBorder="1" applyAlignment="1">
      <alignment vertical="top" wrapText="1"/>
    </xf>
    <xf numFmtId="166" fontId="34" fillId="9" borderId="0" xfId="0" applyNumberFormat="1" applyFont="1" applyFill="1" applyBorder="1" applyAlignment="1">
      <alignment vertical="top" wrapText="1"/>
    </xf>
    <xf numFmtId="166" fontId="34" fillId="0" borderId="0" xfId="0" applyNumberFormat="1" applyFont="1" applyFill="1" applyBorder="1" applyAlignment="1">
      <alignment vertical="top" wrapText="1"/>
    </xf>
    <xf numFmtId="9" fontId="34" fillId="9" borderId="0" xfId="4" applyNumberFormat="1" applyFont="1" applyFill="1" applyBorder="1" applyAlignment="1">
      <alignment vertical="top" wrapText="1"/>
    </xf>
    <xf numFmtId="165" fontId="5" fillId="13" borderId="16" xfId="6" applyNumberFormat="1" applyFont="1" applyFill="1" applyBorder="1" applyAlignment="1">
      <alignment horizontal="center" vertical="top" wrapText="1"/>
    </xf>
    <xf numFmtId="165" fontId="5" fillId="13" borderId="16" xfId="0" applyNumberFormat="1" applyFont="1" applyFill="1" applyBorder="1" applyAlignment="1">
      <alignment horizontal="center" vertical="top" wrapText="1"/>
    </xf>
    <xf numFmtId="165" fontId="12" fillId="13" borderId="16" xfId="6" applyFont="1" applyFill="1" applyBorder="1" applyAlignment="1">
      <alignment horizontal="center" vertical="top" wrapText="1"/>
    </xf>
    <xf numFmtId="165" fontId="5" fillId="13" borderId="17" xfId="0" applyNumberFormat="1" applyFont="1" applyFill="1" applyBorder="1" applyAlignment="1">
      <alignment horizontal="center" vertical="top" wrapText="1"/>
    </xf>
    <xf numFmtId="0" fontId="0" fillId="5" borderId="0" xfId="0" applyFill="1" applyAlignment="1">
      <alignment vertical="top"/>
    </xf>
    <xf numFmtId="0" fontId="0" fillId="10" borderId="0" xfId="0" applyFill="1" applyAlignment="1">
      <alignment vertical="top"/>
    </xf>
    <xf numFmtId="0" fontId="0" fillId="14" borderId="0" xfId="0" applyFill="1" applyAlignment="1">
      <alignment vertical="top"/>
    </xf>
    <xf numFmtId="0" fontId="0" fillId="13" borderId="0" xfId="0" applyFill="1" applyAlignment="1">
      <alignment vertical="top"/>
    </xf>
    <xf numFmtId="177" fontId="5" fillId="0" borderId="0" xfId="0" applyNumberFormat="1" applyFont="1" applyFill="1" applyAlignment="1">
      <alignment horizontal="center" vertical="top" wrapText="1"/>
    </xf>
    <xf numFmtId="0" fontId="5" fillId="0" borderId="0" xfId="0" applyNumberFormat="1" applyFont="1" applyAlignment="1">
      <alignment horizontal="center" vertical="top"/>
    </xf>
    <xf numFmtId="165" fontId="5" fillId="0" borderId="0" xfId="0" applyNumberFormat="1" applyFont="1" applyAlignment="1">
      <alignment horizontal="center" vertical="top"/>
    </xf>
    <xf numFmtId="165" fontId="12" fillId="0" borderId="0" xfId="0" applyNumberFormat="1" applyFont="1" applyAlignment="1">
      <alignment horizontal="center" vertical="top"/>
    </xf>
    <xf numFmtId="197" fontId="5" fillId="5" borderId="0" xfId="0" applyNumberFormat="1" applyFont="1" applyFill="1" applyAlignment="1">
      <alignment horizontal="center" vertical="top" wrapText="1"/>
    </xf>
    <xf numFmtId="0" fontId="5" fillId="0" borderId="0" xfId="6" applyNumberFormat="1" applyFont="1" applyFill="1" applyAlignment="1">
      <alignment horizontal="center" vertical="top" wrapText="1"/>
    </xf>
    <xf numFmtId="166" fontId="34" fillId="0" borderId="20" xfId="0" applyNumberFormat="1" applyFont="1" applyFill="1" applyBorder="1" applyAlignment="1">
      <alignment vertical="top" wrapText="1"/>
    </xf>
    <xf numFmtId="166" fontId="34" fillId="0" borderId="16" xfId="0" applyNumberFormat="1" applyFont="1" applyFill="1" applyBorder="1" applyAlignment="1">
      <alignment vertical="top" wrapText="1"/>
    </xf>
    <xf numFmtId="166" fontId="34" fillId="0" borderId="17" xfId="0" applyNumberFormat="1" applyFont="1" applyFill="1" applyBorder="1" applyAlignment="1">
      <alignment vertical="top" wrapText="1"/>
    </xf>
    <xf numFmtId="166" fontId="34" fillId="12" borderId="17" xfId="0" applyNumberFormat="1" applyFont="1" applyFill="1" applyBorder="1" applyAlignment="1">
      <alignment vertical="top" wrapText="1"/>
    </xf>
    <xf numFmtId="9" fontId="34" fillId="0" borderId="20" xfId="4" applyNumberFormat="1" applyFont="1" applyFill="1" applyBorder="1" applyAlignment="1">
      <alignment vertical="top" wrapText="1"/>
    </xf>
    <xf numFmtId="9" fontId="34" fillId="0" borderId="16" xfId="4" applyNumberFormat="1" applyFont="1" applyFill="1" applyBorder="1" applyAlignment="1">
      <alignment vertical="top" wrapText="1"/>
    </xf>
    <xf numFmtId="9" fontId="34" fillId="0" borderId="17" xfId="4" applyNumberFormat="1" applyFont="1" applyFill="1" applyBorder="1" applyAlignment="1">
      <alignment vertical="top" wrapText="1"/>
    </xf>
    <xf numFmtId="0" fontId="5" fillId="13" borderId="0" xfId="0" applyNumberFormat="1" applyFont="1" applyFill="1" applyBorder="1" applyAlignment="1">
      <alignment horizontal="center" vertical="top" wrapText="1"/>
    </xf>
    <xf numFmtId="166" fontId="17" fillId="15" borderId="31" xfId="7" applyNumberFormat="1" applyFont="1" applyFill="1" applyBorder="1" applyAlignment="1">
      <alignment vertical="top" wrapText="1"/>
    </xf>
    <xf numFmtId="165" fontId="35" fillId="9" borderId="0" xfId="0" applyNumberFormat="1" applyFont="1" applyFill="1" applyBorder="1" applyAlignment="1">
      <alignment horizontal="center" vertical="top" wrapText="1"/>
    </xf>
    <xf numFmtId="165" fontId="35" fillId="2" borderId="20" xfId="0" applyNumberFormat="1" applyFont="1" applyFill="1" applyBorder="1" applyAlignment="1">
      <alignment horizontal="center" vertical="top" wrapText="1"/>
    </xf>
    <xf numFmtId="165" fontId="35" fillId="0" borderId="16" xfId="6" applyNumberFormat="1" applyFont="1" applyBorder="1" applyAlignment="1">
      <alignment horizontal="center" vertical="top" wrapText="1"/>
    </xf>
    <xf numFmtId="165" fontId="35" fillId="0" borderId="17" xfId="6" applyNumberFormat="1" applyFont="1" applyFill="1" applyBorder="1" applyAlignment="1">
      <alignment horizontal="center" vertical="top" wrapText="1"/>
    </xf>
    <xf numFmtId="165" fontId="35" fillId="0" borderId="16" xfId="0" applyNumberFormat="1" applyFont="1" applyFill="1" applyBorder="1" applyAlignment="1">
      <alignment horizontal="center" vertical="top" wrapText="1"/>
    </xf>
    <xf numFmtId="165" fontId="35" fillId="0" borderId="16" xfId="6" applyNumberFormat="1" applyFont="1" applyFill="1" applyBorder="1" applyAlignment="1">
      <alignment horizontal="center" vertical="top" wrapText="1"/>
    </xf>
    <xf numFmtId="165" fontId="35" fillId="2" borderId="0" xfId="6" applyNumberFormat="1" applyFont="1" applyFill="1" applyBorder="1" applyAlignment="1">
      <alignment horizontal="center" vertical="top" wrapText="1"/>
    </xf>
    <xf numFmtId="165" fontId="35" fillId="0" borderId="0" xfId="6"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166" fontId="20" fillId="0" borderId="1" xfId="0" applyNumberFormat="1" applyFont="1" applyFill="1" applyBorder="1" applyAlignment="1">
      <alignment horizontal="center" vertical="top" wrapText="1"/>
    </xf>
    <xf numFmtId="9" fontId="5" fillId="7" borderId="1" xfId="4" applyNumberFormat="1" applyFont="1" applyFill="1" applyBorder="1" applyAlignment="1">
      <alignment horizontal="center" vertical="top" wrapText="1"/>
    </xf>
    <xf numFmtId="9" fontId="20" fillId="0" borderId="1" xfId="4" applyNumberFormat="1" applyFont="1" applyFill="1" applyBorder="1" applyAlignment="1">
      <alignment horizontal="center" vertical="top" wrapText="1"/>
    </xf>
    <xf numFmtId="0" fontId="6" fillId="0" borderId="0" xfId="0" applyFont="1" applyBorder="1" applyAlignment="1">
      <alignment vertical="top" wrapText="1"/>
    </xf>
    <xf numFmtId="0" fontId="20" fillId="7" borderId="0" xfId="0" applyFont="1" applyFill="1" applyBorder="1" applyAlignment="1">
      <alignment vertical="top" wrapText="1"/>
    </xf>
    <xf numFmtId="0" fontId="16" fillId="0" borderId="32" xfId="0" applyNumberFormat="1" applyFont="1" applyBorder="1" applyAlignment="1">
      <alignment horizontal="center" vertical="center" wrapText="1"/>
    </xf>
    <xf numFmtId="0" fontId="19" fillId="0" borderId="0" xfId="0" applyNumberFormat="1" applyFont="1" applyBorder="1" applyAlignment="1">
      <alignment horizontal="center" vertical="top" wrapText="1"/>
    </xf>
    <xf numFmtId="0" fontId="9" fillId="0" borderId="0" xfId="0" applyFont="1" applyAlignment="1">
      <alignment vertical="top" wrapText="1"/>
    </xf>
    <xf numFmtId="165" fontId="0" fillId="0" borderId="0" xfId="0" applyNumberFormat="1" applyAlignment="1">
      <alignment vertical="top" wrapText="1"/>
    </xf>
    <xf numFmtId="0" fontId="0" fillId="2" borderId="5" xfId="0" applyNumberFormat="1" applyFont="1" applyFill="1" applyBorder="1" applyAlignment="1">
      <alignment vertical="top" wrapText="1"/>
    </xf>
    <xf numFmtId="0" fontId="0" fillId="2" borderId="9" xfId="0" applyNumberFormat="1" applyFont="1" applyFill="1" applyBorder="1" applyAlignment="1">
      <alignment vertical="top" wrapText="1"/>
    </xf>
    <xf numFmtId="0" fontId="0" fillId="2" borderId="6" xfId="0" applyNumberFormat="1" applyFont="1" applyFill="1" applyBorder="1" applyAlignment="1">
      <alignment vertical="top" wrapText="1"/>
    </xf>
    <xf numFmtId="0" fontId="0" fillId="2" borderId="27" xfId="0" applyNumberFormat="1" applyFont="1" applyFill="1" applyBorder="1" applyAlignment="1">
      <alignment vertical="top" wrapText="1"/>
    </xf>
    <xf numFmtId="0" fontId="0" fillId="2" borderId="0" xfId="0" applyNumberFormat="1" applyFont="1" applyFill="1" applyBorder="1" applyAlignment="1">
      <alignment vertical="top" wrapText="1"/>
    </xf>
    <xf numFmtId="0" fontId="0" fillId="2" borderId="28" xfId="0" applyNumberFormat="1" applyFont="1" applyFill="1" applyBorder="1" applyAlignment="1">
      <alignment vertical="top" wrapText="1"/>
    </xf>
    <xf numFmtId="0" fontId="0" fillId="2" borderId="7" xfId="0" applyNumberFormat="1" applyFont="1" applyFill="1" applyBorder="1" applyAlignment="1">
      <alignment vertical="top" wrapText="1"/>
    </xf>
    <xf numFmtId="0" fontId="0" fillId="2" borderId="10" xfId="0" applyNumberFormat="1" applyFont="1" applyFill="1" applyBorder="1" applyAlignment="1">
      <alignment vertical="top" wrapText="1"/>
    </xf>
    <xf numFmtId="0" fontId="0" fillId="2" borderId="8" xfId="0" applyNumberFormat="1" applyFont="1" applyFill="1" applyBorder="1" applyAlignment="1">
      <alignment vertical="top" wrapText="1"/>
    </xf>
    <xf numFmtId="0" fontId="0" fillId="2" borderId="5" xfId="0" applyFill="1" applyBorder="1" applyAlignment="1">
      <alignment vertical="top" wrapText="1"/>
    </xf>
    <xf numFmtId="0" fontId="0" fillId="2" borderId="9"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10" xfId="0" applyFill="1" applyBorder="1" applyAlignment="1">
      <alignment vertical="top" wrapText="1"/>
    </xf>
    <xf numFmtId="0" fontId="0" fillId="2" borderId="8" xfId="0" applyFill="1" applyBorder="1" applyAlignment="1">
      <alignment vertical="top" wrapText="1"/>
    </xf>
  </cellXfs>
  <cellStyles count="8">
    <cellStyle name="Currency" xfId="6" builtinId="4"/>
    <cellStyle name="Currency 2 2 2" xfId="2" xr:uid="{00000000-0005-0000-0000-000001000000}"/>
    <cellStyle name="Hyperlink" xfId="7" builtinId="8"/>
    <cellStyle name="Normal" xfId="0" builtinId="0"/>
    <cellStyle name="Normal 2" xfId="1" xr:uid="{00000000-0005-0000-0000-000004000000}"/>
    <cellStyle name="Normal 3" xfId="3" xr:uid="{00000000-0005-0000-0000-000005000000}"/>
    <cellStyle name="Normal 3 2" xfId="5" xr:uid="{00000000-0005-0000-0000-000006000000}"/>
    <cellStyle name="Percent" xfId="4" builtinId="5"/>
  </cellStyles>
  <dxfs count="118">
    <dxf>
      <font>
        <b val="0"/>
        <i val="0"/>
        <strike val="0"/>
        <condense val="0"/>
        <extend val="0"/>
        <outline val="0"/>
        <shadow val="0"/>
        <u val="none"/>
        <vertAlign val="baseline"/>
        <sz val="9"/>
        <color theme="1"/>
        <name val="Calibri"/>
        <family val="2"/>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alignment horizontal="left"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alignment horizontal="center" vertical="top" textRotation="0" wrapText="0" indent="0" justifyLastLine="0" shrinkToFit="0" readingOrder="0"/>
    </dxf>
    <dxf>
      <font>
        <b val="0"/>
        <i val="0"/>
        <strike val="0"/>
        <condense val="0"/>
        <extend val="0"/>
        <outline val="0"/>
        <shadow val="0"/>
        <u val="none"/>
        <vertAlign val="baseline"/>
        <sz val="9"/>
        <color theme="0" tint="-0.249977111117893"/>
        <name val="Calibri"/>
        <family val="2"/>
        <scheme val="none"/>
      </font>
      <alignment horizontal="center"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alignment horizontal="general" vertical="top" textRotation="0" wrapText="0" indent="0" justifyLastLine="0" shrinkToFit="0" readingOrder="0"/>
    </dxf>
    <dxf>
      <font>
        <b/>
        <i val="0"/>
        <strike val="0"/>
        <condense val="0"/>
        <extend val="0"/>
        <outline val="0"/>
        <shadow val="0"/>
        <u val="none"/>
        <vertAlign val="baseline"/>
        <sz val="9"/>
        <color theme="1"/>
        <name val="Calibri"/>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numFmt numFmtId="167" formatCode="[$-F800]dddd\,\ mmmm\ dd\,\ yyyy"/>
      <alignment horizontal="center"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alignment horizontal="general" vertical="top" textRotation="0" wrapText="1" indent="0" justifyLastLine="0" shrinkToFit="0" readingOrder="0"/>
    </dxf>
    <dxf>
      <font>
        <b val="0"/>
        <i val="0"/>
        <strike val="0"/>
        <condense val="0"/>
        <extend val="0"/>
        <outline val="0"/>
        <shadow val="0"/>
        <u val="none"/>
        <vertAlign val="baseline"/>
        <sz val="9"/>
        <color theme="0" tint="-0.249977111117893"/>
        <name val="Calibri"/>
        <family val="2"/>
        <scheme val="none"/>
      </font>
      <alignment horizontal="center" vertical="top" textRotation="0" wrapText="0" indent="0" justifyLastLine="0" shrinkToFit="0" readingOrder="0"/>
    </dxf>
    <dxf>
      <font>
        <b val="0"/>
        <i val="0"/>
        <strike val="0"/>
        <condense val="0"/>
        <extend val="0"/>
        <outline val="0"/>
        <shadow val="0"/>
        <u val="none"/>
        <vertAlign val="baseline"/>
        <sz val="9"/>
        <color theme="1"/>
        <name val="Calibri"/>
        <family val="2"/>
        <scheme val="none"/>
      </font>
      <alignment horizontal="general" vertical="top" textRotation="0" wrapText="1" indent="0" justifyLastLine="0" shrinkToFit="0" readingOrder="0"/>
    </dxf>
    <dxf>
      <font>
        <strike val="0"/>
        <outline val="0"/>
        <shadow val="0"/>
        <u val="none"/>
        <vertAlign val="baseline"/>
        <sz val="9"/>
        <color theme="1"/>
        <name val="Calibri"/>
        <family val="2"/>
        <scheme val="none"/>
      </font>
      <alignment horizontal="center" vertical="center" textRotation="0" indent="0" justifyLastLine="0" shrinkToFit="0" readingOrder="0"/>
    </dxf>
    <dxf>
      <font>
        <strike val="0"/>
        <outline val="0"/>
        <shadow val="0"/>
        <u val="none"/>
        <vertAlign val="baseline"/>
        <sz val="9"/>
        <name val="Calibri"/>
        <family val="2"/>
        <scheme val="none"/>
      </font>
      <fill>
        <patternFill patternType="none">
          <fgColor indexed="64"/>
          <bgColor auto="1"/>
        </patternFill>
      </fill>
      <alignment horizontal="center" vertical="top" textRotation="0" indent="0" justifyLastLine="0" shrinkToFit="0" readingOrder="0"/>
    </dxf>
    <dxf>
      <font>
        <strike val="0"/>
        <outline val="0"/>
        <shadow val="0"/>
        <u val="none"/>
        <vertAlign val="baseline"/>
        <sz val="9"/>
        <name val="Calibri"/>
        <family val="2"/>
        <scheme val="none"/>
      </font>
      <numFmt numFmtId="0" formatCode="General"/>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9"/>
        <name val="Calibri"/>
        <family val="2"/>
        <scheme val="none"/>
      </font>
      <numFmt numFmtId="168" formatCode="#,##0.###"/>
      <fill>
        <patternFill patternType="solid">
          <fgColor indexed="64"/>
          <bgColor theme="0"/>
        </patternFill>
      </fill>
      <alignment horizontal="center" vertical="top" textRotation="0" wrapText="1" indent="0" justifyLastLine="0" shrinkToFit="0" readingOrder="0"/>
      <border diagonalUp="0" diagonalDown="0">
        <left style="thin">
          <color theme="1" tint="0.499984740745262"/>
        </left>
        <right style="thin">
          <color theme="1" tint="0.499984740745262"/>
        </right>
        <top style="thin">
          <color theme="0"/>
        </top>
        <bottom style="thin">
          <color theme="0"/>
        </bottom>
        <vertical/>
        <horizontal style="thin">
          <color theme="0"/>
        </horizontal>
      </border>
    </dxf>
    <dxf>
      <font>
        <b val="0"/>
        <i val="0"/>
        <strike val="0"/>
        <condense val="0"/>
        <extend val="0"/>
        <outline val="0"/>
        <shadow val="0"/>
        <u val="none"/>
        <vertAlign val="baseline"/>
        <sz val="9"/>
        <color theme="1"/>
        <name val="Calibri"/>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rgb="FFFF0000"/>
        <name val="Calibri"/>
        <family val="2"/>
        <scheme val="none"/>
      </font>
      <numFmt numFmtId="165" formatCode="_-&quot;$&quot;* #,##0.00_-;\-&quot;$&quot;* #,##0.00_-;_-&quot;$&quot;* &quot;-&quot;??_-;_-@_-"/>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9"/>
        <name val="Calibri"/>
        <family val="2"/>
        <scheme val="none"/>
      </font>
      <numFmt numFmtId="165" formatCode="_-&quot;$&quot;* #,##0.00_-;\-&quot;$&quot;* #,##0.00_-;_-&quot;$&quot;* &quot;-&quot;??_-;_-@_-"/>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numFmt numFmtId="165" formatCode="_-&quot;$&quot;* #,##0.00_-;\-&quot;$&quot;* #,##0.00_-;_-&quot;$&quot;* &quot;-&quot;??_-;_-@_-"/>
      <fill>
        <patternFill patternType="solid">
          <fgColor indexed="64"/>
          <bgColor rgb="FFFFFF99"/>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numFmt numFmtId="165" formatCode="_-&quot;$&quot;* #,##0.00_-;\-&quot;$&quot;* #,##0.00_-;_-&quot;$&quot;* &quot;-&quot;??_-;_-@_-"/>
      <fill>
        <patternFill patternType="solid">
          <fgColor indexed="64"/>
          <bgColor rgb="FFFFFF99"/>
        </patternFill>
      </fill>
      <alignment horizontal="center" vertical="top" textRotation="0" wrapText="1" indent="0" justifyLastLine="0" shrinkToFit="0" readingOrder="0"/>
    </dxf>
    <dxf>
      <font>
        <strike val="0"/>
        <outline val="0"/>
        <shadow val="0"/>
        <u val="none"/>
        <vertAlign val="baseline"/>
        <sz val="9"/>
        <name val="Calibri"/>
        <family val="2"/>
        <scheme val="none"/>
      </font>
      <numFmt numFmtId="168" formatCode="#,##0.###"/>
      <fill>
        <patternFill patternType="none">
          <fgColor indexed="64"/>
          <bgColor auto="1"/>
        </patternFill>
      </fill>
      <alignment horizontal="center" vertical="top" textRotation="0" indent="0" justifyLastLine="0" shrinkToFit="0" readingOrder="0"/>
    </dxf>
    <dxf>
      <font>
        <b val="0"/>
        <i val="0"/>
        <strike val="0"/>
        <condense val="0"/>
        <extend val="0"/>
        <outline val="0"/>
        <shadow val="0"/>
        <u val="none"/>
        <vertAlign val="baseline"/>
        <sz val="9"/>
        <color theme="1"/>
        <name val="Calibri"/>
        <family val="2"/>
        <scheme val="none"/>
      </font>
      <numFmt numFmtId="165" formatCode="_-&quot;$&quot;* #,##0.00_-;\-&quot;$&quot;* #,##0.00_-;_-&quot;$&quot;* &quot;-&quot;??_-;_-@_-"/>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sz val="9"/>
        <name val="Calibri"/>
        <family val="2"/>
        <scheme val="none"/>
      </font>
      <numFmt numFmtId="165" formatCode="_-&quot;$&quot;* #,##0.00_-;\-&quot;$&quot;* #,##0.00_-;_-&quot;$&quot;* &quot;-&quot;??_-;_-@_-"/>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left style="thin">
          <color theme="1" tint="0.499984740745262"/>
        </left>
        <right style="thin">
          <color theme="1" tint="0.499984740745262"/>
        </right>
        <top style="thin">
          <color theme="0"/>
        </top>
        <bottom style="thin">
          <color theme="0"/>
        </bottom>
        <vertical/>
        <horizontal style="thin">
          <color theme="0"/>
        </horizontal>
      </border>
    </dxf>
    <dxf>
      <font>
        <strike val="0"/>
        <outline val="0"/>
        <shadow val="0"/>
        <u val="none"/>
        <vertAlign val="baseline"/>
        <sz val="9"/>
        <color theme="1"/>
        <name val="Calibri"/>
        <family val="2"/>
        <scheme val="none"/>
      </font>
      <fill>
        <patternFill patternType="none">
          <fgColor indexed="64"/>
          <bgColor auto="1"/>
        </patternFill>
      </fill>
    </dxf>
    <dxf>
      <font>
        <strike val="0"/>
        <outline val="0"/>
        <shadow val="0"/>
        <u val="none"/>
        <vertAlign val="baseline"/>
        <sz val="9"/>
        <name val="Calibri"/>
        <family val="2"/>
        <scheme val="none"/>
      </font>
      <fill>
        <patternFill patternType="none">
          <fgColor indexed="64"/>
          <bgColor auto="1"/>
        </patternFill>
      </fill>
    </dxf>
    <dxf>
      <font>
        <strike val="0"/>
        <outline val="0"/>
        <shadow val="0"/>
        <u val="none"/>
        <vertAlign val="baseline"/>
        <sz val="9"/>
        <name val="Calibri"/>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9"/>
        <name val="Calibri"/>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9"/>
        <color theme="1"/>
        <name val="Calibri"/>
        <family val="2"/>
        <scheme val="none"/>
      </font>
      <numFmt numFmtId="0" formatCode="General"/>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9"/>
        <color theme="0" tint="-0.249977111117893"/>
        <name val="Calibri"/>
        <family val="2"/>
        <scheme val="none"/>
      </font>
      <numFmt numFmtId="0" formatCode="General"/>
      <fill>
        <patternFill patternType="none">
          <fgColor indexed="64"/>
          <bgColor auto="1"/>
        </patternFill>
      </fill>
      <alignment horizontal="center" textRotation="0" indent="0" justifyLastLine="0" shrinkToFit="0" readingOrder="0"/>
    </dxf>
    <dxf>
      <font>
        <strike val="0"/>
        <outline val="0"/>
        <shadow val="0"/>
        <u val="none"/>
        <vertAlign val="baseline"/>
        <sz val="9"/>
        <name val="Calibri"/>
        <family val="2"/>
        <scheme val="none"/>
      </font>
      <numFmt numFmtId="166" formatCode="#,##0.##"/>
      <fill>
        <patternFill patternType="none">
          <fgColor rgb="FF000000"/>
          <bgColor auto="1"/>
        </patternFill>
      </fill>
    </dxf>
    <dxf>
      <font>
        <b/>
        <i val="0"/>
        <strike val="0"/>
        <condense val="0"/>
        <extend val="0"/>
        <outline val="0"/>
        <shadow val="0"/>
        <u val="none"/>
        <vertAlign val="baseline"/>
        <sz val="9"/>
        <color theme="1"/>
        <name val="Calibri"/>
        <family val="2"/>
        <scheme val="none"/>
      </font>
      <numFmt numFmtId="166" formatCode="#,##0.##"/>
      <alignment horizontal="center" vertical="center" textRotation="0" wrapText="1" indent="0" justifyLastLine="0" shrinkToFit="0" readingOrder="0"/>
    </dxf>
    <dxf>
      <font>
        <strike val="0"/>
        <outline val="0"/>
        <shadow val="0"/>
        <u val="none"/>
        <vertAlign val="baseline"/>
        <sz val="9"/>
        <name val="Calibri"/>
        <family val="2"/>
        <scheme val="none"/>
      </font>
      <fill>
        <patternFill patternType="none">
          <fgColor indexed="64"/>
          <bgColor auto="1"/>
        </patternFill>
      </fill>
      <alignment horizontal="center" vertical="top" textRotation="0" indent="0" justifyLastLine="0" shrinkToFit="0" readingOrder="0"/>
    </dxf>
    <dxf>
      <font>
        <strike val="0"/>
        <outline val="0"/>
        <shadow val="0"/>
        <u val="none"/>
        <vertAlign val="baseline"/>
        <sz val="9"/>
        <name val="Calibri"/>
        <family val="2"/>
        <scheme val="none"/>
      </font>
      <numFmt numFmtId="0" formatCode="General"/>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9"/>
        <name val="Calibri"/>
        <family val="2"/>
        <scheme val="none"/>
      </font>
      <numFmt numFmtId="168" formatCode="#,##0.###"/>
      <fill>
        <patternFill patternType="none">
          <fgColor indexed="64"/>
          <bgColor theme="0"/>
        </patternFill>
      </fill>
      <alignment horizontal="center" vertical="top" textRotation="0" wrapText="1" indent="0" justifyLastLine="0" shrinkToFit="0" readingOrder="0"/>
      <border diagonalUp="0" diagonalDown="0" outline="0">
        <left style="thin">
          <color theme="1" tint="0.499984740745262"/>
        </left>
        <right style="thin">
          <color theme="1" tint="0.499984740745262"/>
        </right>
        <top style="thin">
          <color theme="0"/>
        </top>
        <bottom style="thin">
          <color theme="0"/>
        </bottom>
      </border>
    </dxf>
    <dxf>
      <font>
        <strike val="0"/>
        <outline val="0"/>
        <shadow val="0"/>
        <u val="none"/>
        <vertAlign val="baseline"/>
        <sz val="9"/>
        <name val="Calibri"/>
        <family val="2"/>
        <scheme val="none"/>
      </font>
      <numFmt numFmtId="168" formatCode="#,##0.###"/>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9"/>
        <name val="Calibri"/>
        <family val="2"/>
        <scheme val="none"/>
      </font>
      <numFmt numFmtId="168" formatCode="#,##0.###"/>
      <fill>
        <patternFill patternType="none">
          <fgColor indexed="64"/>
          <bgColor auto="1"/>
        </patternFill>
      </fill>
      <alignment horizontal="center" vertical="top" textRotation="0" indent="0" justifyLastLine="0" shrinkToFit="0" readingOrder="0"/>
    </dxf>
    <dxf>
      <font>
        <strike val="0"/>
        <outline val="0"/>
        <shadow val="0"/>
        <u val="none"/>
        <vertAlign val="baseline"/>
        <sz val="9"/>
        <name val="Calibri"/>
        <family val="2"/>
        <scheme val="none"/>
      </font>
      <numFmt numFmtId="168" formatCode="#,##0.###"/>
      <fill>
        <patternFill patternType="none">
          <fgColor indexed="64"/>
          <bgColor auto="1"/>
        </patternFill>
      </fill>
      <alignment horizontal="center" vertical="top" textRotation="0" indent="0" justifyLastLine="0" shrinkToFit="0" readingOrder="0"/>
    </dxf>
    <dxf>
      <font>
        <b val="0"/>
        <i val="0"/>
        <strike val="0"/>
        <condense val="0"/>
        <extend val="0"/>
        <outline val="0"/>
        <shadow val="0"/>
        <u val="none"/>
        <vertAlign val="baseline"/>
        <sz val="9"/>
        <color theme="1"/>
        <name val="Calibri"/>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numFmt numFmtId="196" formatCode="&quot;#&quot;#,##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theme="1" tint="0.499984740745262"/>
        </left>
        <right/>
        <top style="thin">
          <color theme="0"/>
        </top>
        <bottom style="thin">
          <color theme="0"/>
        </bottom>
      </border>
    </dxf>
    <dxf>
      <font>
        <strike val="0"/>
        <outline val="0"/>
        <shadow val="0"/>
        <u val="none"/>
        <vertAlign val="baseline"/>
        <sz val="9"/>
        <color theme="1"/>
        <name val="Calibri"/>
        <family val="2"/>
        <scheme val="none"/>
      </font>
      <fill>
        <patternFill patternType="none">
          <fgColor indexed="64"/>
          <bgColor auto="1"/>
        </patternFill>
      </fill>
    </dxf>
    <dxf>
      <font>
        <strike val="0"/>
        <outline val="0"/>
        <shadow val="0"/>
        <u val="none"/>
        <vertAlign val="baseline"/>
        <sz val="9"/>
        <name val="Calibri"/>
        <family val="2"/>
        <scheme val="none"/>
      </font>
      <fill>
        <patternFill patternType="none">
          <fgColor indexed="64"/>
          <bgColor auto="1"/>
        </patternFill>
      </fill>
    </dxf>
    <dxf>
      <font>
        <strike val="0"/>
        <outline val="0"/>
        <shadow val="0"/>
        <u val="none"/>
        <vertAlign val="baseline"/>
        <sz val="9"/>
        <name val="Calibri"/>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9"/>
        <name val="Calibri"/>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9"/>
        <color theme="1"/>
        <name val="Calibri"/>
        <family val="2"/>
        <scheme val="none"/>
      </font>
      <numFmt numFmtId="0" formatCode="General"/>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9"/>
        <color theme="0" tint="-0.249977111117893"/>
        <name val="Calibri"/>
        <family val="2"/>
        <scheme val="none"/>
      </font>
      <numFmt numFmtId="0" formatCode="General"/>
      <fill>
        <patternFill patternType="none">
          <fgColor indexed="64"/>
          <bgColor auto="1"/>
        </patternFill>
      </fill>
      <alignment horizontal="center" textRotation="0" indent="0" justifyLastLine="0" shrinkToFit="0" readingOrder="0"/>
    </dxf>
    <dxf>
      <font>
        <strike val="0"/>
        <outline val="0"/>
        <shadow val="0"/>
        <u val="none"/>
        <vertAlign val="baseline"/>
        <sz val="9"/>
        <name val="Calibri"/>
        <family val="2"/>
        <scheme val="none"/>
      </font>
      <numFmt numFmtId="166" formatCode="#,##0.##"/>
      <fill>
        <patternFill patternType="none">
          <fgColor indexed="64"/>
          <bgColor auto="1"/>
        </patternFill>
      </fill>
    </dxf>
    <dxf>
      <font>
        <b/>
        <i val="0"/>
        <strike val="0"/>
        <condense val="0"/>
        <extend val="0"/>
        <outline val="0"/>
        <shadow val="0"/>
        <u val="none"/>
        <vertAlign val="baseline"/>
        <sz val="9"/>
        <color theme="1"/>
        <name val="Calibri"/>
        <family val="2"/>
        <scheme val="none"/>
      </font>
      <numFmt numFmtId="166" formatCode="#,##0.##"/>
      <alignment horizontal="center" vertical="center" textRotation="0" wrapText="1" indent="0" justifyLastLine="0" shrinkToFit="0" readingOrder="0"/>
    </dxf>
    <dxf>
      <fill>
        <patternFill>
          <bgColor theme="0" tint="-4.9989318521683403E-2"/>
        </patternFill>
      </fill>
    </dxf>
    <dxf>
      <fill>
        <patternFill>
          <bgColor rgb="FFE7FFFF"/>
        </patternFill>
      </fill>
    </dxf>
    <dxf>
      <border>
        <top/>
        <vertical/>
        <horizontal/>
      </border>
    </dxf>
    <dxf>
      <font>
        <strike val="0"/>
        <outline val="0"/>
        <shadow val="0"/>
        <vertAlign val="baseline"/>
        <sz val="9"/>
        <name val="Calibri"/>
        <family val="2"/>
        <scheme val="none"/>
      </font>
      <numFmt numFmtId="168" formatCode="#,##0.###"/>
      <fill>
        <patternFill patternType="none">
          <fgColor indexed="64"/>
          <bgColor auto="1"/>
        </patternFill>
      </fill>
      <alignment horizontal="center" vertical="top" textRotation="0" indent="0" justifyLastLine="0" shrinkToFit="0" readingOrder="0"/>
    </dxf>
    <dxf>
      <font>
        <strike val="0"/>
        <outline val="0"/>
        <shadow val="0"/>
        <vertAlign val="baseline"/>
        <sz val="9"/>
        <name val="Calibri"/>
        <family val="2"/>
        <scheme val="none"/>
      </font>
      <numFmt numFmtId="168" formatCode="#,##0.###"/>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9"/>
        <color theme="1"/>
        <name val="Calibri"/>
        <family val="2"/>
        <scheme val="none"/>
      </font>
      <numFmt numFmtId="168" formatCode="#,##0.###"/>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9"/>
        <color theme="1"/>
        <name val="Calibri"/>
        <family val="2"/>
        <scheme val="none"/>
      </font>
      <numFmt numFmtId="168" formatCode="#,##0.###"/>
      <fill>
        <patternFill patternType="solid">
          <fgColor indexed="64"/>
          <bgColor theme="0"/>
        </patternFill>
      </fill>
      <alignment horizontal="center" vertical="top" textRotation="0" wrapText="0" indent="0" justifyLastLine="0" shrinkToFit="0" readingOrder="0"/>
      <border diagonalUp="0" diagonalDown="0">
        <left/>
        <right style="thin">
          <color theme="1" tint="0.499984740745262"/>
        </right>
        <top style="thin">
          <color theme="0"/>
        </top>
        <bottom style="thin">
          <color theme="0"/>
        </bottom>
        <vertical/>
        <horizontal style="thin">
          <color theme="0"/>
        </horizontal>
      </border>
    </dxf>
    <dxf>
      <font>
        <strike val="0"/>
        <outline val="0"/>
        <shadow val="0"/>
        <vertAlign val="baseline"/>
        <sz val="9"/>
        <name val="Calibri"/>
        <family val="2"/>
        <scheme val="none"/>
      </font>
      <numFmt numFmtId="168" formatCode="#,##0.###"/>
      <fill>
        <patternFill patternType="solid">
          <fgColor indexed="64"/>
          <bgColor theme="0"/>
        </patternFill>
      </fill>
      <alignment horizontal="center" vertical="top" textRotation="0" wrapText="1" indent="0" justifyLastLine="0" shrinkToFit="0" readingOrder="0"/>
      <border diagonalUp="0" diagonalDown="0">
        <left style="thin">
          <color theme="1" tint="0.499984740745262"/>
        </left>
        <right/>
        <top style="thin">
          <color theme="0"/>
        </top>
        <bottom style="thin">
          <color theme="0"/>
        </bottom>
        <vertical/>
        <horizontal style="thin">
          <color theme="0"/>
        </horizontal>
      </border>
    </dxf>
    <dxf>
      <font>
        <strike val="0"/>
        <outline val="0"/>
        <shadow val="0"/>
        <vertAlign val="baseline"/>
        <sz val="9"/>
        <name val="Calibri"/>
        <family val="2"/>
        <scheme val="none"/>
      </font>
      <numFmt numFmtId="168" formatCode="#,##0.###"/>
      <fill>
        <patternFill patternType="none">
          <fgColor indexed="64"/>
          <bgColor auto="1"/>
        </patternFill>
      </fill>
      <alignment horizontal="center" vertical="top" textRotation="0" indent="0" justifyLastLine="0" shrinkToFit="0" readingOrder="0"/>
    </dxf>
    <dxf>
      <font>
        <strike val="0"/>
        <outline val="0"/>
        <shadow val="0"/>
        <vertAlign val="baseline"/>
        <sz val="9"/>
        <name val="Calibri"/>
        <family val="2"/>
        <scheme val="none"/>
      </font>
      <numFmt numFmtId="168" formatCode="#,##0.###"/>
      <fill>
        <patternFill patternType="none">
          <fgColor indexed="64"/>
          <bgColor auto="1"/>
        </patternFill>
      </fill>
      <alignment horizontal="center" vertical="top" textRotation="0" indent="0" justifyLastLine="0" shrinkToFit="0" readingOrder="0"/>
      <border outline="0">
        <left style="thin">
          <color theme="0" tint="-0.24994659260841701"/>
        </left>
      </border>
    </dxf>
    <dxf>
      <font>
        <strike val="0"/>
        <outline val="0"/>
        <shadow val="0"/>
        <vertAlign val="baseline"/>
        <sz val="9"/>
        <name val="Calibri"/>
        <family val="2"/>
        <scheme val="none"/>
      </font>
      <numFmt numFmtId="168" formatCode="#,##0.###"/>
      <fill>
        <patternFill patternType="solid">
          <fgColor indexed="64"/>
          <bgColor theme="0"/>
        </patternFill>
      </fill>
      <alignment horizontal="center" vertical="top" textRotation="0" wrapText="1" indent="0" justifyLastLine="0" shrinkToFit="0" readingOrder="0"/>
      <border diagonalUp="0" diagonalDown="0" outline="0">
        <left style="thin">
          <color theme="1" tint="0.499984740745262"/>
        </left>
        <right style="thin">
          <color theme="1" tint="0.499984740745262"/>
        </right>
        <top style="thin">
          <color theme="0"/>
        </top>
        <bottom style="thin">
          <color theme="0"/>
        </bottom>
      </border>
    </dxf>
    <dxf>
      <font>
        <strike val="0"/>
        <outline val="0"/>
        <shadow val="0"/>
        <vertAlign val="baseline"/>
        <sz val="9"/>
        <name val="Calibri"/>
        <family val="2"/>
        <scheme val="none"/>
      </font>
      <numFmt numFmtId="168" formatCode="#,##0.###"/>
      <alignment horizontal="center" vertical="top" textRotation="0" wrapText="1" indent="0" justifyLastLine="0" shrinkToFit="0" readingOrder="0"/>
      <border outline="0">
        <right style="thin">
          <color theme="0" tint="-0.24994659260841701"/>
        </right>
      </border>
    </dxf>
    <dxf>
      <font>
        <strike val="0"/>
        <outline val="0"/>
        <shadow val="0"/>
        <vertAlign val="baseline"/>
        <sz val="9"/>
        <name val="Calibri"/>
        <family val="2"/>
        <scheme val="none"/>
      </font>
      <numFmt numFmtId="168" formatCode="#,##0.###"/>
      <alignment horizontal="center" vertical="top" textRotation="0" indent="0" justifyLastLine="0" shrinkToFit="0" readingOrder="0"/>
    </dxf>
    <dxf>
      <font>
        <strike val="0"/>
        <outline val="0"/>
        <shadow val="0"/>
        <vertAlign val="baseline"/>
        <sz val="9"/>
        <name val="Calibri"/>
        <family val="2"/>
        <scheme val="none"/>
      </font>
      <numFmt numFmtId="168" formatCode="#,##0.###"/>
      <alignment horizontal="center" vertical="top" textRotation="0" indent="0" justifyLastLine="0" shrinkToFit="0" readingOrder="0"/>
    </dxf>
    <dxf>
      <font>
        <b val="0"/>
        <i val="0"/>
        <strike val="0"/>
        <condense val="0"/>
        <extend val="0"/>
        <outline val="0"/>
        <shadow val="0"/>
        <u val="none"/>
        <vertAlign val="baseline"/>
        <sz val="9"/>
        <color theme="1"/>
        <name val="Calibri"/>
        <family val="2"/>
        <scheme val="none"/>
      </font>
      <numFmt numFmtId="196" formatCode="&quot;#&quot;#,##0"/>
      <fill>
        <patternFill patternType="none">
          <fgColor indexed="64"/>
          <bgColor indexed="65"/>
        </patternFill>
      </fill>
      <alignment horizontal="center" vertical="top" textRotation="0" wrapText="1" indent="0" justifyLastLine="0" shrinkToFit="0" readingOrder="0"/>
      <border diagonalUp="0" diagonalDown="0">
        <left/>
        <right style="thin">
          <color theme="0" tint="-0.24994659260841701"/>
        </right>
        <top style="thin">
          <color theme="0"/>
        </top>
        <bottom style="thin">
          <color theme="0"/>
        </bottom>
      </border>
    </dxf>
    <dxf>
      <font>
        <b val="0"/>
        <i val="0"/>
        <strike val="0"/>
        <condense val="0"/>
        <extend val="0"/>
        <outline val="0"/>
        <shadow val="0"/>
        <u val="none"/>
        <vertAlign val="baseline"/>
        <sz val="9"/>
        <color theme="1"/>
        <name val="Calibri"/>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theme="1" tint="0.499984740745262"/>
        </left>
        <right/>
        <top style="thin">
          <color theme="0"/>
        </top>
        <bottom style="thin">
          <color theme="0"/>
        </bottom>
      </border>
    </dxf>
    <dxf>
      <font>
        <strike val="0"/>
        <outline val="0"/>
        <shadow val="0"/>
        <u val="none"/>
        <vertAlign val="baseline"/>
        <sz val="9"/>
        <color theme="1"/>
        <name val="Calibri"/>
        <family val="2"/>
        <scheme val="none"/>
      </font>
      <fill>
        <patternFill patternType="none">
          <fgColor indexed="64"/>
          <bgColor auto="1"/>
        </patternFill>
      </fill>
    </dxf>
    <dxf>
      <font>
        <strike val="0"/>
        <outline val="0"/>
        <shadow val="0"/>
        <vertAlign val="baseline"/>
        <sz val="9"/>
        <name val="Calibri"/>
        <family val="2"/>
        <scheme val="none"/>
      </font>
      <fill>
        <patternFill patternType="none">
          <fgColor indexed="64"/>
          <bgColor auto="1"/>
        </patternFill>
      </fill>
    </dxf>
    <dxf>
      <font>
        <strike val="0"/>
        <outline val="0"/>
        <shadow val="0"/>
        <vertAlign val="baseline"/>
        <sz val="9"/>
        <name val="Calibri"/>
        <family val="2"/>
        <scheme val="none"/>
      </font>
      <fill>
        <patternFill patternType="none">
          <fgColor indexed="64"/>
          <bgColor auto="1"/>
        </patternFill>
      </fill>
      <alignment horizontal="left" vertical="top" textRotation="0" wrapText="0" indent="0" justifyLastLine="0" shrinkToFit="0" readingOrder="0"/>
    </dxf>
    <dxf>
      <font>
        <strike val="0"/>
        <outline val="0"/>
        <shadow val="0"/>
        <vertAlign val="baseline"/>
        <sz val="9"/>
        <name val="Calibri"/>
        <family val="2"/>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9"/>
        <color theme="1"/>
        <name val="Calibri"/>
        <family val="2"/>
        <scheme val="none"/>
      </font>
      <numFmt numFmtId="0" formatCode="General"/>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9"/>
        <color theme="0" tint="-0.249977111117893"/>
        <name val="Calibri"/>
        <family val="2"/>
        <scheme val="none"/>
      </font>
      <numFmt numFmtId="0" formatCode="General"/>
      <fill>
        <patternFill patternType="none">
          <fgColor indexed="64"/>
          <bgColor auto="1"/>
        </patternFill>
      </fill>
    </dxf>
    <dxf>
      <font>
        <strike val="0"/>
        <outline val="0"/>
        <shadow val="0"/>
        <vertAlign val="baseline"/>
        <sz val="9"/>
        <name val="Calibri"/>
        <family val="2"/>
        <scheme val="none"/>
      </font>
    </dxf>
    <dxf>
      <font>
        <b/>
        <i val="0"/>
        <strike val="0"/>
        <condense val="0"/>
        <extend val="0"/>
        <outline val="0"/>
        <shadow val="0"/>
        <u val="none"/>
        <vertAlign val="baseline"/>
        <sz val="9"/>
        <color theme="1"/>
        <name val="Calibri"/>
        <family val="2"/>
        <scheme val="none"/>
      </font>
      <numFmt numFmtId="166" formatCode="#,##0.##"/>
      <alignment horizontal="center" vertical="center" textRotation="0" wrapText="1" indent="0" justifyLastLine="0" shrinkToFit="0" readingOrder="0"/>
    </dxf>
    <dxf>
      <fill>
        <patternFill>
          <bgColor theme="0" tint="-4.9989318521683403E-2"/>
        </patternFill>
      </fill>
    </dxf>
    <dxf>
      <fill>
        <patternFill>
          <bgColor rgb="FFE7FFFF"/>
        </patternFill>
      </fill>
    </dxf>
    <dxf>
      <border>
        <top/>
        <vertical/>
        <horizontal/>
      </border>
    </dxf>
    <dxf>
      <font>
        <strike val="0"/>
        <outline val="0"/>
        <shadow val="0"/>
        <u val="none"/>
        <vertAlign val="baseline"/>
        <sz val="9"/>
        <color auto="1"/>
        <name val="Calibri"/>
        <family val="2"/>
        <scheme val="none"/>
      </font>
      <numFmt numFmtId="165" formatCode="_-&quot;$&quot;* #,##0.00_-;\-&quot;$&quot;* #,##0.00_-;_-&quot;$&quot;* &quot;-&quot;??_-;_-@_-"/>
      <alignment horizontal="center" vertical="top" textRotation="0" indent="0" justifyLastLine="0" shrinkToFit="0" readingOrder="0"/>
    </dxf>
    <dxf>
      <font>
        <strike val="0"/>
        <outline val="0"/>
        <shadow val="0"/>
        <u val="none"/>
        <vertAlign val="baseline"/>
        <sz val="9"/>
        <name val="Calibri"/>
        <family val="2"/>
        <scheme val="none"/>
      </font>
      <numFmt numFmtId="165" formatCode="_-&quot;$&quot;* #,##0.00_-;\-&quot;$&quot;* #,##0.00_-;_-&quot;$&quot;* &quot;-&quot;??_-;_-@_-"/>
      <alignment horizontal="center" vertical="top" textRotation="0" indent="0" justifyLastLine="0" shrinkToFit="0" readingOrder="0"/>
    </dxf>
    <dxf>
      <font>
        <i/>
        <strike val="0"/>
        <outline val="0"/>
        <shadow val="0"/>
        <u val="none"/>
        <vertAlign val="baseline"/>
        <sz val="9"/>
        <color theme="0" tint="-0.249977111117893"/>
        <name val="Calibri"/>
        <family val="2"/>
        <scheme val="none"/>
      </font>
      <numFmt numFmtId="165" formatCode="_-&quot;$&quot;* #,##0.00_-;\-&quot;$&quot;* #,##0.00_-;_-&quot;$&quot;* &quot;-&quot;??_-;_-@_-"/>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9"/>
        <name val="Calibri"/>
        <family val="2"/>
        <scheme val="none"/>
      </font>
      <numFmt numFmtId="165" formatCode="_-&quot;$&quot;* #,##0.00_-;\-&quot;$&quot;* #,##0.00_-;_-&quot;$&quot;* &quot;-&quot;??_-;_-@_-"/>
      <alignment horizontal="center" vertical="top" textRotation="0" indent="0" justifyLastLine="0" shrinkToFit="0" readingOrder="0"/>
    </dxf>
    <dxf>
      <font>
        <strike val="0"/>
        <outline val="0"/>
        <shadow val="0"/>
        <u val="none"/>
        <vertAlign val="baseline"/>
        <sz val="9"/>
        <name val="Calibri"/>
        <family val="2"/>
        <scheme val="none"/>
      </font>
      <numFmt numFmtId="0" formatCode="General"/>
      <alignment horizontal="center" vertical="top" textRotation="0" indent="0" justifyLastLine="0" shrinkToFit="0" readingOrder="0"/>
    </dxf>
    <dxf>
      <font>
        <strike val="0"/>
        <outline val="0"/>
        <shadow val="0"/>
        <u val="none"/>
        <vertAlign val="baseline"/>
        <sz val="9"/>
        <name val="Calibri"/>
        <family val="2"/>
        <scheme val="none"/>
      </font>
      <numFmt numFmtId="168" formatCode="#,##0.###"/>
      <alignment horizontal="center" vertical="top" textRotation="0" indent="0" justifyLastLine="0" shrinkToFit="0" readingOrder="0"/>
    </dxf>
    <dxf>
      <font>
        <strike val="0"/>
        <outline val="0"/>
        <shadow val="0"/>
        <u val="none"/>
        <vertAlign val="baseline"/>
        <sz val="9"/>
        <color theme="1"/>
        <name val="Calibri"/>
        <family val="2"/>
        <scheme val="none"/>
      </font>
    </dxf>
    <dxf>
      <font>
        <strike val="0"/>
        <outline val="0"/>
        <shadow val="0"/>
        <u val="none"/>
        <vertAlign val="baseline"/>
        <sz val="9"/>
        <name val="Calibri"/>
        <family val="2"/>
        <scheme val="none"/>
      </font>
      <alignment horizontal="left" vertical="top" textRotation="0" wrapText="0" indent="0" justifyLastLine="0" shrinkToFit="0" readingOrder="0"/>
    </dxf>
    <dxf>
      <font>
        <strike val="0"/>
        <outline val="0"/>
        <shadow val="0"/>
        <u val="none"/>
        <vertAlign val="baseline"/>
        <sz val="9"/>
        <name val="Calibri"/>
        <family val="2"/>
        <scheme val="none"/>
      </font>
      <alignment horizontal="left" vertical="top" textRotation="0" wrapText="0" indent="0" justifyLastLine="0" shrinkToFit="0" readingOrder="0"/>
    </dxf>
    <dxf>
      <font>
        <strike val="0"/>
        <outline val="0"/>
        <shadow val="0"/>
        <u val="none"/>
        <vertAlign val="baseline"/>
        <sz val="9"/>
        <color theme="1"/>
        <name val="Calibri"/>
        <family val="2"/>
        <scheme val="none"/>
      </font>
      <numFmt numFmtId="0" formatCode="General"/>
      <alignment horizontal="left" vertical="top" textRotation="0" wrapText="0" indent="0" justifyLastLine="0" shrinkToFit="0" readingOrder="0"/>
    </dxf>
    <dxf>
      <font>
        <strike val="0"/>
        <outline val="0"/>
        <shadow val="0"/>
        <u val="none"/>
        <vertAlign val="baseline"/>
        <sz val="9"/>
        <name val="Calibri"/>
        <family val="2"/>
        <scheme val="none"/>
      </font>
    </dxf>
    <dxf>
      <font>
        <b/>
        <i val="0"/>
        <strike val="0"/>
        <condense val="0"/>
        <extend val="0"/>
        <outline val="0"/>
        <shadow val="0"/>
        <u val="none"/>
        <vertAlign val="baseline"/>
        <sz val="9"/>
        <color theme="1"/>
        <name val="Calibri"/>
        <family val="2"/>
        <scheme val="none"/>
      </font>
      <numFmt numFmtId="166" formatCode="#,##0.##"/>
      <fill>
        <patternFill patternType="solid">
          <fgColor indexed="64"/>
          <bgColor rgb="FF0C6E54"/>
        </patternFill>
      </fill>
      <alignment horizontal="center" vertical="center" textRotation="0" wrapText="1" indent="0" justifyLastLine="0" shrinkToFit="0" readingOrder="0"/>
    </dxf>
    <dxf>
      <fill>
        <patternFill>
          <bgColor theme="0" tint="-4.9989318521683403E-2"/>
        </patternFill>
      </fill>
    </dxf>
    <dxf>
      <fill>
        <patternFill>
          <bgColor rgb="FFE7FFFF"/>
        </patternFill>
      </fill>
    </dxf>
    <dxf>
      <border>
        <top/>
        <vertical/>
        <horizontal/>
      </border>
    </dxf>
    <dxf>
      <font>
        <color theme="0" tint="-0.24994659260841701"/>
      </font>
    </dxf>
    <dxf>
      <font>
        <b val="0"/>
        <i val="0"/>
        <strike val="0"/>
        <condense val="0"/>
        <extend val="0"/>
        <outline val="0"/>
        <shadow val="0"/>
        <u val="none"/>
        <vertAlign val="baseline"/>
        <sz val="9"/>
        <color theme="5"/>
        <name val="Calibri"/>
        <family val="2"/>
        <scheme val="none"/>
      </font>
      <numFmt numFmtId="166" formatCode="#,##0.##"/>
      <fill>
        <patternFill patternType="none">
          <fgColor indexed="64"/>
          <bgColor auto="1"/>
        </patternFill>
      </fill>
      <alignment horizontal="general" vertical="top" textRotation="0" wrapText="1" indent="0" justifyLastLine="0" shrinkToFit="0" readingOrder="0"/>
    </dxf>
    <dxf>
      <font>
        <strike val="0"/>
        <outline val="0"/>
        <shadow val="0"/>
        <sz val="9"/>
        <name val="Calibri"/>
        <family val="2"/>
        <scheme val="none"/>
      </font>
      <numFmt numFmtId="166" formatCode="#,##0.##"/>
      <fill>
        <patternFill>
          <fgColor indexed="64"/>
          <bgColor theme="0"/>
        </patternFill>
      </fill>
      <alignment horizontal="center" vertical="top" textRotation="0" wrapText="1" indent="0" justifyLastLine="0" shrinkToFit="0" readingOrder="0"/>
      <border diagonalUp="0" diagonalDown="0" outline="0">
        <left style="thin">
          <color theme="6" tint="0.79998168889431442"/>
        </left>
        <right/>
        <top style="thin">
          <color theme="0"/>
        </top>
        <bottom style="thin">
          <color theme="0"/>
        </bottom>
      </border>
    </dxf>
    <dxf>
      <font>
        <b val="0"/>
        <i val="0"/>
        <strike val="0"/>
        <condense val="0"/>
        <extend val="0"/>
        <outline val="0"/>
        <shadow val="0"/>
        <u val="none"/>
        <vertAlign val="baseline"/>
        <sz val="9"/>
        <color theme="1"/>
        <name val="Calibri"/>
        <family val="2"/>
        <scheme val="none"/>
      </font>
      <numFmt numFmtId="165" formatCode="_-&quot;$&quot;* #,##0.00_-;\-&quot;$&quot;* #,##0.00_-;_-&quot;$&quot;* &quot;-&quot;??_-;_-@_-"/>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numFmt numFmtId="165" formatCode="_-&quot;$&quot;* #,##0.00_-;\-&quot;$&quot;* #,##0.00_-;_-&quot;$&quot;* &quot;-&quot;??_-;_-@_-"/>
      <alignment horizontal="center" vertical="top" textRotation="0" wrapText="1" indent="0" justifyLastLine="0" shrinkToFit="0" readingOrder="0"/>
    </dxf>
    <dxf>
      <font>
        <strike val="0"/>
        <outline val="0"/>
        <shadow val="0"/>
        <sz val="9"/>
        <name val="Calibri"/>
        <family val="2"/>
        <scheme val="none"/>
      </font>
      <alignment horizontal="center" vertical="top" textRotation="0" wrapText="1" indent="0" justifyLastLine="0" shrinkToFit="0" readingOrder="0"/>
    </dxf>
    <dxf>
      <font>
        <strike val="0"/>
        <outline val="0"/>
        <shadow val="0"/>
        <sz val="9"/>
        <name val="Calibri"/>
        <family val="2"/>
        <scheme val="none"/>
      </font>
      <numFmt numFmtId="168" formatCode="#,##0.###"/>
      <alignment horizontal="center" vertical="top" textRotation="0" wrapText="1" indent="0" justifyLastLine="0" shrinkToFit="0" readingOrder="0"/>
    </dxf>
    <dxf>
      <font>
        <strike val="0"/>
        <outline val="0"/>
        <shadow val="0"/>
        <u val="none"/>
        <vertAlign val="baseline"/>
        <sz val="9"/>
        <color theme="1"/>
        <name val="Calibri"/>
        <family val="2"/>
        <scheme val="minor"/>
      </font>
    </dxf>
    <dxf>
      <font>
        <b val="0"/>
        <i val="0"/>
        <strike val="0"/>
        <condense val="0"/>
        <extend val="0"/>
        <outline val="0"/>
        <shadow val="0"/>
        <u val="none"/>
        <vertAlign val="baseline"/>
        <sz val="9"/>
        <color theme="1"/>
        <name val="Calibri"/>
        <family val="2"/>
        <scheme val="none"/>
      </font>
      <numFmt numFmtId="13" formatCode="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none"/>
      </font>
      <numFmt numFmtId="165" formatCode="_-&quot;$&quot;* #,##0.00_-;\-&quot;$&quot;* #,##0.00_-;_-&quot;$&quot;* &quot;-&quot;??_-;_-@_-"/>
      <fill>
        <patternFill patternType="none">
          <fgColor indexed="64"/>
          <bgColor indexed="65"/>
        </patternFill>
      </fill>
      <alignment horizontal="general" vertical="top" textRotation="0" wrapText="1" indent="0" justifyLastLine="0" shrinkToFit="0" readingOrder="0"/>
    </dxf>
    <dxf>
      <font>
        <strike val="0"/>
        <outline val="0"/>
        <shadow val="0"/>
        <sz val="9"/>
        <name val="Calibri"/>
        <family val="2"/>
        <scheme val="none"/>
      </font>
    </dxf>
    <dxf>
      <font>
        <strike val="0"/>
        <outline val="0"/>
        <shadow val="0"/>
        <sz val="9"/>
        <name val="Calibri"/>
        <family val="2"/>
        <scheme val="none"/>
      </font>
      <numFmt numFmtId="0" formatCode="General"/>
      <alignment horizontal="left" vertical="top" textRotation="0" wrapText="0" indent="0" justifyLastLine="0" shrinkToFit="0" readingOrder="0"/>
    </dxf>
    <dxf>
      <font>
        <strike val="0"/>
        <outline val="0"/>
        <shadow val="0"/>
        <sz val="9"/>
        <name val="Calibri"/>
        <family val="2"/>
        <scheme val="none"/>
      </font>
    </dxf>
    <dxf>
      <font>
        <b/>
        <i val="0"/>
        <strike val="0"/>
        <condense val="0"/>
        <extend val="0"/>
        <outline val="0"/>
        <shadow val="0"/>
        <u val="none"/>
        <vertAlign val="baseline"/>
        <sz val="9"/>
        <color theme="1"/>
        <name val="Calibri"/>
        <family val="2"/>
        <scheme val="none"/>
      </font>
      <numFmt numFmtId="166" formatCode="#,##0.##"/>
      <fill>
        <patternFill patternType="none">
          <fgColor indexed="64"/>
          <bgColor rgb="FF0C6E54"/>
        </patternFill>
      </fill>
      <alignment horizontal="center" vertical="center" textRotation="0" wrapText="1" indent="0" justifyLastLine="0" shrinkToFit="0" readingOrder="0"/>
    </dxf>
    <dxf>
      <font>
        <b val="0"/>
        <i val="0"/>
        <strike val="0"/>
        <outline val="0"/>
        <shadow val="0"/>
        <u val="none"/>
        <vertAlign val="baseline"/>
        <sz val="9"/>
        <color theme="5"/>
        <name val="Calibri"/>
        <family val="2"/>
        <scheme val="none"/>
      </font>
      <alignment horizontal="general" vertical="top" textRotation="0" wrapText="1" indent="0" justifyLastLine="0" shrinkToFit="0" readingOrder="0"/>
      <border outline="0">
        <left style="thin">
          <color theme="6" tint="0.79998168889431442"/>
        </left>
      </border>
    </dxf>
    <dxf>
      <font>
        <strike val="0"/>
        <outline val="0"/>
        <shadow val="0"/>
        <sz val="9"/>
        <name val="Calibri"/>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theme="6" tint="0.79998168889431442"/>
        </left>
        <right style="thin">
          <color theme="6" tint="0.79998168889431442"/>
        </right>
        <top style="thin">
          <color theme="0"/>
        </top>
        <bottom style="thin">
          <color theme="0"/>
        </bottom>
        <vertical/>
        <horizontal style="thin">
          <color theme="0"/>
        </horizontal>
      </border>
    </dxf>
    <dxf>
      <font>
        <strike val="0"/>
        <outline val="0"/>
        <shadow val="0"/>
        <sz val="9"/>
        <name val="Calibri"/>
        <family val="2"/>
        <scheme val="none"/>
      </font>
      <alignment horizontal="center" vertical="top" textRotation="0" wrapText="1" indent="0" justifyLastLine="0" shrinkToFit="0" readingOrder="0"/>
      <border outline="0">
        <right style="thin">
          <color theme="6" tint="0.79998168889431442"/>
        </right>
      </border>
    </dxf>
    <dxf>
      <font>
        <strike val="0"/>
        <outline val="0"/>
        <shadow val="0"/>
        <sz val="9"/>
        <name val="Calibri"/>
        <family val="2"/>
        <scheme val="none"/>
      </font>
      <numFmt numFmtId="168" formatCode="#,##0.###"/>
      <alignment horizontal="center" vertical="top" textRotation="0" wrapText="1" indent="0" justifyLastLine="0" shrinkToFit="0" readingOrder="0"/>
    </dxf>
    <dxf>
      <font>
        <strike val="0"/>
        <outline val="0"/>
        <shadow val="0"/>
        <sz val="9"/>
        <name val="Calibri"/>
        <family val="2"/>
        <scheme val="none"/>
      </font>
    </dxf>
    <dxf>
      <font>
        <strike val="0"/>
        <outline val="0"/>
        <shadow val="0"/>
        <u val="none"/>
        <vertAlign val="baseline"/>
        <sz val="9"/>
        <color theme="1"/>
        <name val="Calibri"/>
        <family val="2"/>
        <scheme val="none"/>
      </font>
      <numFmt numFmtId="0" formatCode="General"/>
      <alignment horizontal="general" vertical="top" textRotation="0" wrapText="1" indent="0" justifyLastLine="0" shrinkToFit="0" readingOrder="0"/>
    </dxf>
    <dxf>
      <font>
        <b/>
        <strike val="0"/>
        <outline val="0"/>
        <shadow val="0"/>
        <u val="none"/>
        <vertAlign val="baseline"/>
        <sz val="10"/>
        <color auto="1"/>
        <name val="Calibri"/>
        <family val="2"/>
        <scheme val="none"/>
      </font>
      <numFmt numFmtId="0" formatCode="General"/>
      <alignment horizontal="center" vertical="top" textRotation="0" wrapText="0" indent="0" justifyLastLine="0" shrinkToFit="0" readingOrder="0"/>
    </dxf>
    <dxf>
      <font>
        <strike val="0"/>
        <outline val="0"/>
        <shadow val="0"/>
        <sz val="9"/>
        <name val="Calibri"/>
        <family val="2"/>
        <scheme val="none"/>
      </font>
    </dxf>
    <dxf>
      <font>
        <b/>
        <i val="0"/>
        <strike val="0"/>
        <condense val="0"/>
        <extend val="0"/>
        <outline val="0"/>
        <shadow val="0"/>
        <u val="none"/>
        <vertAlign val="baseline"/>
        <sz val="10"/>
        <color theme="1"/>
        <name val="Calibri"/>
        <family val="2"/>
        <scheme val="none"/>
      </font>
      <numFmt numFmtId="166" formatCode="#,##0.##"/>
      <fill>
        <patternFill patternType="none">
          <fgColor indexed="64"/>
          <bgColor auto="1"/>
        </patternFill>
      </fill>
      <alignment horizontal="center" vertical="center" textRotation="0" wrapText="1" indent="0" justifyLastLine="0" shrinkToFit="0" readingOrder="0"/>
    </dxf>
    <dxf>
      <fill>
        <patternFill>
          <bgColor rgb="FF98FF01"/>
        </patternFill>
      </fill>
    </dxf>
  </dxfs>
  <tableStyles count="0" defaultTableStyle="TableStyleMedium2" defaultPivotStyle="PivotStyleLight16"/>
  <colors>
    <mruColors>
      <color rgb="FF01FF74"/>
      <color rgb="FFFFFF99"/>
      <color rgb="FF98FF01"/>
      <color rgb="FFCCECFF"/>
      <color rgb="FFE7FFFF"/>
      <color rgb="FFF3F8F2"/>
      <color rgb="FF0C6E54"/>
      <color rgb="FF336699"/>
      <color rgb="FF0066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1107120-BCB9-45CA-9AA2-05EB82216EAB}" name="IN_TBL" displayName="IN_TBL" ref="B7:I39" totalsRowShown="0" headerRowDxfId="116" dataDxfId="115">
  <autoFilter ref="B7:I39" xr:uid="{26EC8386-A3C0-4366-A5D4-888C163E0AC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4F0E002-084A-4B19-8710-85927CDA798E}" name="Question No." dataDxfId="114"/>
    <tableColumn id="2" xr3:uid="{E4CABCD9-BA06-423D-AF1A-F4A44C77D1AB}" name="Reference*" dataDxfId="113"/>
    <tableColumn id="10" xr3:uid="{2C0A559C-603E-4216-97D4-6E58B566C27E}" name="COSTING QUESTION" dataDxfId="112"/>
    <tableColumn id="6" xr3:uid="{4F263BC5-F7B6-4DD1-85CC-2BE9F24B24E9}" name="Enter your Answer" dataDxfId="111"/>
    <tableColumn id="9" xr3:uid="{F70A8ED9-22C8-419E-85D0-2B652F4C4FFA}" name="Units" dataDxfId="110"/>
    <tableColumn id="4" xr3:uid="{B0BA5C94-5BA8-4CB4-8291-C6795A8F89E5}" name=".2" dataDxfId="109"/>
    <tableColumn id="5" xr3:uid="{12FC4790-9A9F-41F4-9413-3D668B39423B}" name="Reference to Calculation Worksheets (WS)"/>
    <tableColumn id="7" xr3:uid="{90A161DD-8D06-467E-8890-AAF19A8661C7}" name="Applicant's Rationale for Answer" dataDxfId="108"/>
  </tableColumns>
  <tableStyleInfo name="TableStyleMedium4"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AC23F50-5F07-44FA-80B7-3BD326B1ACDA}" name="IN_co_TBL" displayName="IN_co_TBL" ref="B6:L77" totalsRowShown="0" headerRowDxfId="107" dataDxfId="106">
  <autoFilter ref="B6:L77" xr:uid="{26EC8386-A3C0-4366-A5D4-888C163E0A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3" xr3:uid="{5E559AE2-1A31-430E-983E-C266B68DBC0B}" name="Project Specific Cost" dataDxfId="105"/>
    <tableColumn id="10" xr3:uid="{944EAC9D-4EC4-4E5C-9908-01B0D3DF0E44}" name="Description" dataDxfId="104"/>
    <tableColumn id="2" xr3:uid="{B01B76DD-B637-46E6-A32E-D60B3A252A38}" name="Referenced Cost in Tool" dataDxfId="103" dataCellStyle="Percent"/>
    <tableColumn id="7" xr3:uid="{BAA6AF08-D47A-4F9A-80D0-4774A23B048E}" name="per unit" dataDxfId="102" dataCellStyle="Percent"/>
    <tableColumn id="4" xr3:uid="{B9BC6DC1-D14E-4B58-B5D4-F3E2E43BF740}" name="Instructions" dataDxfId="101"/>
    <tableColumn id="6" xr3:uid="{7600E5B3-5455-4190-AA33-8AC55027A939}" name="INPUT" dataDxfId="100"/>
    <tableColumn id="9" xr3:uid="{065465C2-4BA1-4598-9DB7-FAD29C34265C}" name="Units" dataDxfId="99"/>
    <tableColumn id="8" xr3:uid="{E885A84E-05CC-4FDF-A079-6FD9AEB84864}" name="Assigned Cost" dataDxfId="98"/>
    <tableColumn id="11" xr3:uid="{54122034-5F52-4892-B596-50DA20A57061}" name="Units " dataDxfId="97"/>
    <tableColumn id="14" xr3:uid="{D3C7C6EE-94EB-4E0B-B1DE-E67B8AB624B1}" name="." dataDxfId="96"/>
    <tableColumn id="1" xr3:uid="{DB77A3FA-37E5-4944-99C6-E3CB76E6BA6B}" name="Applicant's Rationale for Project Specific Cost" dataDxfId="95"/>
  </tableColumns>
  <tableStyleInfo name="TableStyleMedium4"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A6EE1BE-E27C-465D-8AA7-093FA78A4E42}" name="OUT_TBL" displayName="OUT_TBL" ref="B5:K88" totalsRowShown="0" headerRowDxfId="90" dataDxfId="89">
  <autoFilter ref="B5:K88" xr:uid="{26EC8386-A3C0-4366-A5D4-888C163E0A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2" xr3:uid="{DAFD8E8B-2F4F-45F1-AAFE-FD97A1AAA1DC}" name="Cost Category" dataDxfId="88"/>
    <tableColumn id="3" xr3:uid="{44F490AB-DA4A-4AFA-B553-CA4E0DA95839}" name="Sub Category" dataDxfId="87"/>
    <tableColumn id="5" xr3:uid="{E8CC70F4-204A-4971-B892-176B0FE7CB39}" name="Activity No." dataDxfId="86"/>
    <tableColumn id="10" xr3:uid="{07079BAA-0132-40C6-9895-4B8199DFDE01}" name="Reclamation Activity" dataDxfId="85"/>
    <tableColumn id="7" xr3:uid="{98809BC8-0430-4CCA-89F2-04E50C6053BB}" name="Quantities" dataDxfId="84"/>
    <tableColumn id="11" xr3:uid="{ABEDD6BF-5AE5-4EC9-9B3D-8EA6E1780AFF}" name="Units" dataDxfId="83"/>
    <tableColumn id="4" xr3:uid="{00F9328D-3A59-4C15-9B23-C1AACC18D91C}" name="Unit Rate" dataDxfId="82"/>
    <tableColumn id="9" xr3:uid="{77C98FDA-97AD-4956-9B41-EB9CB22CF444}" name="Hidden Subtotals" dataDxfId="81"/>
    <tableColumn id="8" xr3:uid="{2EA3C2B8-B78A-4730-94A4-0B482B5CDF07}" name="Closure Costs" dataDxfId="80"/>
    <tableColumn id="6" xr3:uid="{E7F7D883-30B8-4762-9E84-5C7A49AF9FC0}" name="Subtotals" dataDxfId="79"/>
  </tableColumns>
  <tableStyleInfo name="TableStyleMedium5"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0E3040B-BF17-4D26-89F3-87E51FAB8042}" name="Q_TBL" displayName="Q_TBL" ref="B5:V84" totalsRowShown="0" headerRowDxfId="75" dataDxfId="74">
  <autoFilter ref="B5:V84" xr:uid="{26EC8386-A3C0-4366-A5D4-888C163E0A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E7F1E46B-8608-42E6-A462-F50950478B23}" name="ID" dataDxfId="73"/>
    <tableColumn id="2" xr3:uid="{63482A0D-75AA-4064-BF2D-412CE8414BF6}" name="Cost Category" dataDxfId="72"/>
    <tableColumn id="3" xr3:uid="{8B27129E-2BDE-4B44-B909-1C35D9F293E0}" name="Sub Category" dataDxfId="71"/>
    <tableColumn id="5" xr3:uid="{CE52D7DF-E9F7-410C-9917-D6421DCF8302}" name="Activity No." dataDxfId="70"/>
    <tableColumn id="10" xr3:uid="{742E0A7C-EE29-4272-B4E3-BAF2D7D54D09}" name="Reclamation Activity" dataDxfId="69"/>
    <tableColumn id="8" xr3:uid="{ED59EBBB-1962-4A01-B902-D5A5DEF3E3CE}" name="Costing Detail" dataDxfId="68"/>
    <tableColumn id="14" xr3:uid="{F8AC6641-5F98-4393-9943-D1FAE8CD515D}" name="." dataDxfId="67"/>
    <tableColumn id="13" xr3:uid="{166CDCAF-7DEE-4234-B59B-F55D21E761A2}" name="Costing Question" dataDxfId="66"/>
    <tableColumn id="4" xr3:uid="{1CF98CC7-C945-496B-9E02-013CC23D837F}" name="Information provided" dataDxfId="65"/>
    <tableColumn id="21" xr3:uid="{91E275CD-A8E7-425B-AD2D-1F207823ED70}" name="True/ False"/>
    <tableColumn id="20" xr3:uid="{55DFB7C9-8749-4C9C-ACD5-2E99B9617D19}" name="Variable1"/>
    <tableColumn id="6" xr3:uid="{6946549D-A6B8-449D-88FE-5649E226D186}" name="Variable2" dataDxfId="64"/>
    <tableColumn id="9" xr3:uid="{0E0D63A2-28D0-4FFE-941D-D007E515DC68}" name="Variable3" dataDxfId="63"/>
    <tableColumn id="12" xr3:uid="{E2B12EE8-F879-46D5-8853-5ED65B0CA53D}" name=".." dataDxfId="62"/>
    <tableColumn id="7" xr3:uid="{0D21FB52-5C4B-4B2A-A2DF-0A2F9265A090}" name="Quantity" dataDxfId="61"/>
    <tableColumn id="11" xr3:uid="{7F01A971-83BD-41A9-B1DD-61B1AB9DFB59}" name="Units" dataDxfId="60"/>
    <tableColumn id="17" xr3:uid="{EFE2CD69-FADE-4B80-A062-4781BA62B21B}" name="…" dataDxfId="59"/>
    <tableColumn id="19" xr3:uid="{73F7FEE2-A547-4E71-98C1-EE5C593CB004}" name="…." dataDxfId="58"/>
    <tableColumn id="15" xr3:uid="{7D96B873-5902-4CE0-AC73-FA60825EA72E}" name="Production" dataDxfId="57"/>
    <tableColumn id="18" xr3:uid="{9837B084-4FC2-4BB7-A148-5FB4C8AFFFAD}" name="Production - units/ crewday" dataDxfId="56"/>
    <tableColumn id="16" xr3:uid="{6D703F58-0C1A-4D0C-8CDD-65129618F8E7}" name="Work - crewday" dataDxfId="55"/>
  </tableColumns>
  <tableStyleInfo name="TableStyleMedium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2C7318-4D37-49DF-84A6-3664CB1FFC51}" name="RATE_TBL" displayName="RATE_TBL" ref="B5:Q84" totalsRowShown="0" headerRowDxfId="51" dataDxfId="50">
  <autoFilter ref="B5:Q84" xr:uid="{26EC8386-A3C0-4366-A5D4-888C163E0A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CC2CEB61-3798-454C-8F11-ADE60F6F75B3}" name="_x000a_ID_x000a_" dataDxfId="49"/>
    <tableColumn id="2" xr3:uid="{8AD5DD85-4EC1-4ED6-9330-2249BF9F1608}" name="Cost Category" dataDxfId="48"/>
    <tableColumn id="3" xr3:uid="{B8F34083-022A-4602-8615-FBB8129E3A4C}" name="Sub Category" dataDxfId="47"/>
    <tableColumn id="5" xr3:uid="{76F1A1B3-02E3-4A26-BFE0-A37A45443DD4}" name="Activity No." dataDxfId="46"/>
    <tableColumn id="10" xr3:uid="{FAA90727-6FAE-45C2-B7EF-DCDD7746088E}" name="Reclamation Activity" dataDxfId="45"/>
    <tableColumn id="8" xr3:uid="{1244C7B5-BB02-40B3-97AE-BB3EC56AFB5E}" name="Costing Detail" dataDxfId="44"/>
    <tableColumn id="7" xr3:uid="{FF09F406-EB78-4EA8-93F2-5781F58017A8}" name="." dataDxfId="43"/>
    <tableColumn id="14" xr3:uid="{389949CA-B525-48C9-9F0B-F61644955D4F}" name="Costing Question" dataDxfId="42"/>
    <tableColumn id="15" xr3:uid="{0D663F56-6616-4CE6-9B67-952E672C7942}" name="Information provided" dataDxfId="41"/>
    <tableColumn id="17" xr3:uid="{67FE773A-A6D6-4366-BD0A-13987A229BE2}" name="True/ False" dataDxfId="40"/>
    <tableColumn id="4" xr3:uid="{45BBFE34-E8CA-4013-9DED-80778288FB6D}" name="Variable1" dataDxfId="39"/>
    <tableColumn id="6" xr3:uid="{05076823-E7E1-4B42-BE5B-265E5ED0ED38}" name="Variable2" dataDxfId="38"/>
    <tableColumn id="9" xr3:uid="{5DDDCFA1-5012-4C48-AEB4-DDAF4CC9E18F}" name="Variable3" dataDxfId="37"/>
    <tableColumn id="13" xr3:uid="{36AA512C-D66B-49B5-99A0-8F8A05FC0257}" name=".." dataDxfId="36"/>
    <tableColumn id="11" xr3:uid="{8AB29428-B787-4558-A421-3872FD45A460}" name="Units" dataDxfId="35"/>
    <tableColumn id="12" xr3:uid="{7B4A9EB0-4FE8-48DC-887A-9F01CCA2AC1F}" name="Unit Rate" dataDxfId="34" dataCellStyle="Currency"/>
  </tableColumns>
  <tableStyleInfo name="TableStyleMedium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C66A8F-7E63-413A-AF37-EA1E05EB543A}" name="RATE_TBL3" displayName="RATE_TBL3" ref="B5:S42" totalsRowShown="0" headerRowDxfId="33" dataDxfId="32">
  <autoFilter ref="B5:S42" xr:uid="{26EC8386-A3C0-4366-A5D4-888C163E0A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9A1C6875-3384-4755-8D17-C1FF017AAD50}" name="_x000a_ID_x000a_" dataDxfId="31"/>
    <tableColumn id="2" xr3:uid="{6BDA58B4-5483-44D5-9592-377F72BDE77B}" name="Cost Category" dataDxfId="30"/>
    <tableColumn id="3" xr3:uid="{ACF8D389-D013-49E8-99DB-6317CDE1F146}" name="Sub Category" dataDxfId="29"/>
    <tableColumn id="5" xr3:uid="{6111BCB0-CD4B-4040-924B-706717B6A472}" name="Activity No." dataDxfId="28"/>
    <tableColumn id="10" xr3:uid="{1C5437D3-4116-41E4-B80A-E3C03709039B}" name="Reclamation Activity" dataDxfId="27"/>
    <tableColumn id="8" xr3:uid="{F89670F4-7B2B-4595-94F4-E704BA965519}" name="Information Source" dataDxfId="26"/>
    <tableColumn id="7" xr3:uid="{1A04479C-E6EB-4923-85C2-EFC41D0341E3}" name="." dataDxfId="25"/>
    <tableColumn id="4" xr3:uid="{7CA2BEF8-77D2-4CF8-B227-6B3EC0664918}" name="Reference Rate" dataDxfId="24"/>
    <tableColumn id="21" xr3:uid="{04B3EF36-4F99-4621-86CC-1BB0890F35B1}" name="per unit" dataDxfId="23"/>
    <tableColumn id="6" xr3:uid="{2269C68E-FC12-4812-BD5B-7AAD04075DFE}" name="Calculation Variable1" dataDxfId="22"/>
    <tableColumn id="18" xr3:uid="{CB3B903D-103F-488D-932B-148A794EA8D7}" name="Calculation Variable2" dataDxfId="21"/>
    <tableColumn id="20" xr3:uid="{30239B7B-00C9-46BB-AE36-478E17E1133C}" name="Calculation Variable3" dataDxfId="20"/>
    <tableColumn id="9" xr3:uid="{C897891C-2ECE-4C11-AF36-2F0E49B47AFC}" name="Calculated Unit Rate" dataDxfId="19"/>
    <tableColumn id="19" xr3:uid="{BDFC6777-BC9C-4C45-B9A5-5660263502F5}" name="Inflation" dataDxfId="18" dataCellStyle="Currency"/>
    <tableColumn id="16" xr3:uid="{5E5081A2-32DC-40AF-89B5-D7C03BBAA9DF}" name="Project-Specific Cost" dataDxfId="17" dataCellStyle="Currency"/>
    <tableColumn id="13" xr3:uid="{0AB09AE1-8DA5-41BD-8D95-F74D168A15D2}" name=".." dataDxfId="16"/>
    <tableColumn id="11" xr3:uid="{E98143DE-9836-491A-A5DD-0370943FA876}" name="Units" dataDxfId="15"/>
    <tableColumn id="12" xr3:uid="{D5DE6C6D-1504-4332-98FC-300A1B4EB347}" name="Assigned Unit Rate" dataDxfId="14" dataCellStyle="Currency"/>
  </tableColumns>
  <tableStyleInfo name="TableStyleMedium1"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2A3AAF-CDD0-4E35-94B8-BF69FEF104C5}" name="Table1" displayName="Table1" ref="B3:E4" totalsRowShown="0" headerRowDxfId="13" dataDxfId="12">
  <tableColumns count="4">
    <tableColumn id="1" xr3:uid="{D38645A0-2E3C-47C2-80C1-45217735675B}" name="ID" dataDxfId="11">
      <calculatedColumnFormula>ROW(Table1[[#This Row],[ID]])-ROW(Table1[[#Headers],[ID]])</calculatedColumnFormula>
    </tableColumn>
    <tableColumn id="2" xr3:uid="{6710DB52-A6E2-4B13-9FCB-78678D2FE944}" name="Version" dataDxfId="10"/>
    <tableColumn id="3" xr3:uid="{6478C28F-B07E-4AD5-AB5C-87514CC763E5}" name="Date" dataDxfId="9"/>
    <tableColumn id="4" xr3:uid="{E187D466-AE76-4513-B3FB-7560F6C109CC}" name="Description" dataDxfId="8"/>
  </tableColumns>
  <tableStyleInfo name="TableStyleMedium2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3C376EF-0998-4905-9F9C-9156B08D1E1A}" name="SYS_gen" displayName="SYS_gen" ref="B3:G20" totalsRowShown="0" headerRowDxfId="7" dataDxfId="6">
  <autoFilter ref="B3:G20" xr:uid="{38008DF8-38EB-48E2-8718-26B03EE08288}">
    <filterColumn colId="0" hiddenButton="1"/>
    <filterColumn colId="1" hiddenButton="1"/>
    <filterColumn colId="2" hiddenButton="1"/>
    <filterColumn colId="3" hiddenButton="1"/>
    <filterColumn colId="4" hiddenButton="1"/>
    <filterColumn colId="5" hiddenButton="1"/>
  </autoFilter>
  <tableColumns count="6">
    <tableColumn id="1" xr3:uid="{7B76A528-579A-43C4-8282-D4D76AE4FD49}" name="ID" dataDxfId="5"/>
    <tableColumn id="5" xr3:uid="{816FCAC8-C4F7-4E78-9B59-5F813C7D61BE}" name="Section" dataDxfId="4"/>
    <tableColumn id="2" xr3:uid="{D4D79EA9-87E5-4E8D-B786-F98A5C08A2F8}" name="Sub-Sect." dataDxfId="3"/>
    <tableColumn id="3" xr3:uid="{24F38E97-71F4-428E-94BB-7170ECD8120F}" name="Item" dataDxfId="2"/>
    <tableColumn id="6" xr3:uid="{81D3FC3D-108D-483C-B371-AC1A246E4C6C}" name="Entry" dataDxfId="1"/>
    <tableColumn id="4" xr3:uid="{B7C28770-BD90-4646-8BE1-6F4CE4A849C7}" name="Detail" dataDxfId="0"/>
  </tableColumns>
  <tableStyleInfo name="TableStyleMedium22" showFirstColumn="0" showLastColumn="0" showRowStripes="0" showColumnStripes="0"/>
</table>
</file>

<file path=xl/theme/theme1.xml><?xml version="1.0" encoding="utf-8"?>
<a:theme xmlns:a="http://schemas.openxmlformats.org/drawingml/2006/main" name="Office Theme">
  <a:themeElements>
    <a:clrScheme name="Aspec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statsnwt.ca/prices-expenditures/cpi/" TargetMode="External"/><Relationship Id="rId1" Type="http://schemas.openxmlformats.org/officeDocument/2006/relationships/hyperlink" Target="https://www.statsnwt.ca/prices-expenditures/cpi/historical_cpi/index.html" TargetMode="Externa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0918D-AA8E-49E3-AB08-FB9FFAEB2D3D}">
  <sheetPr codeName="Sheet2">
    <tabColor rgb="FF0C6E54"/>
  </sheetPr>
  <dimension ref="A1:K46"/>
  <sheetViews>
    <sheetView tabSelected="1" zoomScaleNormal="100" workbookViewId="0">
      <pane xSplit="1" ySplit="7" topLeftCell="B8" activePane="bottomRight" state="frozen"/>
      <selection pane="topRight" activeCell="B1" sqref="B1"/>
      <selection pane="bottomLeft" activeCell="A9" sqref="A9"/>
      <selection pane="bottomRight" activeCell="L7" sqref="L7"/>
    </sheetView>
  </sheetViews>
  <sheetFormatPr defaultColWidth="8.77734375" defaultRowHeight="18" outlineLevelRow="1"/>
  <cols>
    <col min="1" max="1" width="1.5546875" style="8" customWidth="1"/>
    <col min="2" max="2" width="6.6640625" style="1" customWidth="1"/>
    <col min="3" max="3" width="20.109375" style="1" customWidth="1"/>
    <col min="4" max="4" width="100.109375" style="3" customWidth="1"/>
    <col min="5" max="5" width="12" style="6" customWidth="1"/>
    <col min="6" max="6" width="8.6640625" style="6" customWidth="1"/>
    <col min="7" max="7" width="1.6640625" style="1" customWidth="1"/>
    <col min="8" max="8" width="30.88671875" style="22" customWidth="1"/>
    <col min="9" max="9" width="18.6640625" style="22" customWidth="1"/>
    <col min="10" max="10" width="1.6640625" style="26" customWidth="1"/>
    <col min="11" max="16384" width="8.77734375" style="1"/>
  </cols>
  <sheetData>
    <row r="1" spans="1:11" s="148" customFormat="1">
      <c r="B1" s="217" t="str">
        <f>"Closure and Reclamation Tool - Closure Costs_"&amp;E8</f>
        <v>Closure and Reclamation Tool - Closure Costs_Project Name</v>
      </c>
      <c r="C1" s="145"/>
      <c r="D1" s="146"/>
      <c r="E1" s="147"/>
      <c r="F1" s="147"/>
      <c r="J1" s="144"/>
    </row>
    <row r="2" spans="1:11" s="148" customFormat="1" ht="5.4" customHeight="1" outlineLevel="1" thickBot="1">
      <c r="A2" s="143"/>
      <c r="B2" s="145"/>
      <c r="C2" s="84"/>
      <c r="D2" s="146"/>
      <c r="E2" s="147"/>
      <c r="F2" s="147"/>
      <c r="J2" s="144"/>
    </row>
    <row r="3" spans="1:11" s="148" customFormat="1" ht="31.2" outlineLevel="1">
      <c r="A3" s="321" t="s">
        <v>239</v>
      </c>
      <c r="B3" s="472" t="s">
        <v>425</v>
      </c>
      <c r="C3" s="473"/>
      <c r="D3" s="473"/>
      <c r="E3" s="473"/>
      <c r="F3" s="473"/>
      <c r="G3" s="473"/>
      <c r="H3" s="474"/>
      <c r="I3" s="413" t="s">
        <v>295</v>
      </c>
      <c r="J3" s="144"/>
    </row>
    <row r="4" spans="1:11" s="148" customFormat="1" ht="18.600000000000001" outlineLevel="1" thickBot="1">
      <c r="A4" s="321"/>
      <c r="B4" s="475"/>
      <c r="C4" s="476"/>
      <c r="D4" s="476"/>
      <c r="E4" s="476"/>
      <c r="F4" s="476"/>
      <c r="G4" s="476"/>
      <c r="H4" s="477"/>
      <c r="I4" s="414">
        <f>'Closure Costs'!$E$3</f>
        <v>0</v>
      </c>
      <c r="J4" s="144"/>
    </row>
    <row r="5" spans="1:11" s="148" customFormat="1" ht="28.2" outlineLevel="1" thickBot="1">
      <c r="A5" s="321"/>
      <c r="B5" s="478"/>
      <c r="C5" s="479"/>
      <c r="D5" s="479"/>
      <c r="E5" s="479"/>
      <c r="F5" s="479"/>
      <c r="G5" s="479"/>
      <c r="H5" s="480"/>
      <c r="I5" s="468" t="str">
        <f>"You have answered "&amp;COUNTA(E13:E39)&amp;" out of "&amp;MAX(B13:B39)&amp;" questions."</f>
        <v>You have answered 0 out of 18 questions.</v>
      </c>
      <c r="J5" s="144"/>
    </row>
    <row r="6" spans="1:11" s="148" customFormat="1" ht="4.2" customHeight="1">
      <c r="A6" s="143"/>
      <c r="D6" s="146"/>
      <c r="E6" s="142"/>
      <c r="F6" s="142"/>
      <c r="J6" s="144"/>
    </row>
    <row r="7" spans="1:11" s="13" customFormat="1" ht="31.2">
      <c r="A7" s="323" t="s">
        <v>239</v>
      </c>
      <c r="B7" s="422" t="s">
        <v>298</v>
      </c>
      <c r="C7" s="224" t="s">
        <v>190</v>
      </c>
      <c r="D7" s="223" t="s">
        <v>297</v>
      </c>
      <c r="E7" s="225" t="s">
        <v>296</v>
      </c>
      <c r="F7" s="225" t="s">
        <v>3</v>
      </c>
      <c r="G7" s="226" t="s">
        <v>160</v>
      </c>
      <c r="H7" s="225" t="s">
        <v>314</v>
      </c>
      <c r="I7" s="225" t="s">
        <v>192</v>
      </c>
      <c r="J7" s="27"/>
      <c r="K7" s="140"/>
    </row>
    <row r="8" spans="1:11">
      <c r="B8" s="227"/>
      <c r="C8" s="231"/>
      <c r="D8" s="231" t="s">
        <v>290</v>
      </c>
      <c r="E8" s="232" t="s">
        <v>426</v>
      </c>
      <c r="F8" s="233"/>
      <c r="G8" s="149"/>
      <c r="H8" s="234"/>
      <c r="I8" s="425"/>
      <c r="K8" s="22"/>
    </row>
    <row r="9" spans="1:11">
      <c r="B9" s="239"/>
      <c r="C9" s="240"/>
      <c r="D9" s="240" t="s">
        <v>291</v>
      </c>
      <c r="E9" s="241" t="s">
        <v>120</v>
      </c>
      <c r="F9" s="242"/>
      <c r="G9" s="149"/>
      <c r="H9" s="243"/>
      <c r="I9" s="426"/>
      <c r="K9" s="22"/>
    </row>
    <row r="10" spans="1:11">
      <c r="B10" s="239"/>
      <c r="C10" s="240"/>
      <c r="D10" s="240" t="s">
        <v>292</v>
      </c>
      <c r="E10" s="241" t="s">
        <v>96</v>
      </c>
      <c r="F10" s="242"/>
      <c r="G10" s="149"/>
      <c r="H10" s="243"/>
      <c r="I10" s="426"/>
      <c r="K10" s="22"/>
    </row>
    <row r="11" spans="1:11">
      <c r="B11" s="239"/>
      <c r="C11" s="240"/>
      <c r="D11" s="240" t="s">
        <v>293</v>
      </c>
      <c r="E11" s="241" t="s">
        <v>392</v>
      </c>
      <c r="F11" s="242"/>
      <c r="G11" s="149"/>
      <c r="H11" s="243"/>
      <c r="I11" s="426"/>
      <c r="K11" s="22"/>
    </row>
    <row r="12" spans="1:11">
      <c r="B12" s="235"/>
      <c r="C12" s="228"/>
      <c r="D12" s="244" t="s">
        <v>294</v>
      </c>
      <c r="E12" s="245" t="s">
        <v>427</v>
      </c>
      <c r="F12" s="246"/>
      <c r="G12" s="462"/>
      <c r="H12" s="228"/>
      <c r="I12" s="427"/>
      <c r="K12" s="22"/>
    </row>
    <row r="13" spans="1:11">
      <c r="B13" s="219"/>
      <c r="C13" s="269" t="s">
        <v>122</v>
      </c>
      <c r="D13" s="187"/>
      <c r="E13" s="161"/>
      <c r="F13" s="189"/>
      <c r="G13" s="149"/>
      <c r="H13" s="188"/>
      <c r="I13" s="428"/>
      <c r="K13" s="22"/>
    </row>
    <row r="14" spans="1:11" ht="175.2">
      <c r="B14" s="400">
        <v>1</v>
      </c>
      <c r="C14" s="401"/>
      <c r="D14" s="401" t="s">
        <v>417</v>
      </c>
      <c r="E14" s="402"/>
      <c r="F14" s="403" t="s">
        <v>28</v>
      </c>
      <c r="G14" s="463"/>
      <c r="H14" s="238" t="s">
        <v>315</v>
      </c>
      <c r="I14" s="429"/>
      <c r="K14" s="22"/>
    </row>
    <row r="15" spans="1:11" ht="238.8">
      <c r="B15" s="400">
        <v>2</v>
      </c>
      <c r="C15" s="401"/>
      <c r="D15" s="401" t="s">
        <v>418</v>
      </c>
      <c r="E15" s="404"/>
      <c r="F15" s="403" t="s">
        <v>33</v>
      </c>
      <c r="G15" s="463"/>
      <c r="H15" s="238" t="s">
        <v>326</v>
      </c>
      <c r="I15" s="429"/>
      <c r="K15" s="22"/>
    </row>
    <row r="16" spans="1:11">
      <c r="B16" s="219"/>
      <c r="C16" s="269" t="s">
        <v>123</v>
      </c>
      <c r="D16" s="187"/>
      <c r="E16" s="161"/>
      <c r="F16" s="189"/>
      <c r="G16" s="81"/>
      <c r="H16" s="188"/>
      <c r="I16" s="428"/>
      <c r="K16" s="22"/>
    </row>
    <row r="17" spans="1:11" ht="255.6">
      <c r="B17" s="400">
        <v>3</v>
      </c>
      <c r="C17" s="406" t="s">
        <v>194</v>
      </c>
      <c r="D17" s="401" t="s">
        <v>419</v>
      </c>
      <c r="E17" s="404"/>
      <c r="F17" s="407" t="s">
        <v>33</v>
      </c>
      <c r="G17" s="463"/>
      <c r="H17" s="238" t="s">
        <v>398</v>
      </c>
      <c r="I17" s="429"/>
      <c r="K17" s="22"/>
    </row>
    <row r="18" spans="1:11" ht="228">
      <c r="B18" s="400">
        <v>4</v>
      </c>
      <c r="C18" s="405" t="s">
        <v>183</v>
      </c>
      <c r="D18" s="466" t="s">
        <v>416</v>
      </c>
      <c r="E18" s="402"/>
      <c r="F18" s="407" t="s">
        <v>32</v>
      </c>
      <c r="G18" s="463"/>
      <c r="H18" s="238" t="s">
        <v>399</v>
      </c>
      <c r="I18" s="429"/>
      <c r="K18" s="22"/>
    </row>
    <row r="19" spans="1:11">
      <c r="A19" s="222"/>
      <c r="B19" s="220"/>
      <c r="C19" s="221" t="s">
        <v>124</v>
      </c>
      <c r="D19" s="193"/>
      <c r="E19" s="194"/>
      <c r="F19" s="195"/>
      <c r="G19" s="464"/>
      <c r="H19" s="193"/>
      <c r="I19" s="430"/>
      <c r="K19" s="22"/>
    </row>
    <row r="20" spans="1:11" ht="210.6">
      <c r="A20" s="222"/>
      <c r="B20" s="408">
        <v>5</v>
      </c>
      <c r="C20" s="406" t="s">
        <v>195</v>
      </c>
      <c r="D20" s="410" t="s">
        <v>404</v>
      </c>
      <c r="E20" s="402"/>
      <c r="F20" s="411" t="s">
        <v>29</v>
      </c>
      <c r="G20" s="465"/>
      <c r="H20" s="238" t="s">
        <v>316</v>
      </c>
      <c r="I20" s="429"/>
      <c r="K20" s="22"/>
    </row>
    <row r="21" spans="1:11" ht="183.6">
      <c r="B21" s="408">
        <v>6</v>
      </c>
      <c r="C21" s="409"/>
      <c r="D21" s="410" t="s">
        <v>405</v>
      </c>
      <c r="E21" s="402"/>
      <c r="F21" s="411" t="s">
        <v>27</v>
      </c>
      <c r="G21" s="465"/>
      <c r="H21" s="238" t="s">
        <v>317</v>
      </c>
      <c r="I21" s="429"/>
      <c r="K21" s="22"/>
    </row>
    <row r="22" spans="1:11">
      <c r="B22" s="219"/>
      <c r="C22" s="269" t="s">
        <v>125</v>
      </c>
      <c r="D22" s="187"/>
      <c r="E22" s="161"/>
      <c r="F22" s="189"/>
      <c r="G22" s="81"/>
      <c r="H22" s="188"/>
      <c r="I22" s="428"/>
      <c r="K22" s="22"/>
    </row>
    <row r="23" spans="1:11" s="3" customFormat="1" ht="242.4" customHeight="1">
      <c r="A23" s="222"/>
      <c r="B23" s="469">
        <v>7</v>
      </c>
      <c r="C23" s="406" t="s">
        <v>420</v>
      </c>
      <c r="D23" s="401" t="s">
        <v>421</v>
      </c>
      <c r="E23" s="404"/>
      <c r="F23" s="407" t="s">
        <v>33</v>
      </c>
      <c r="G23" s="463"/>
      <c r="H23" s="238" t="s">
        <v>318</v>
      </c>
      <c r="I23" s="429"/>
      <c r="J23" s="470"/>
      <c r="K23" s="471"/>
    </row>
    <row r="24" spans="1:11" ht="96">
      <c r="B24" s="400">
        <v>8</v>
      </c>
      <c r="C24" s="401"/>
      <c r="D24" s="401" t="s">
        <v>406</v>
      </c>
      <c r="E24" s="402"/>
      <c r="F24" s="407" t="s">
        <v>28</v>
      </c>
      <c r="G24" s="463"/>
      <c r="H24" s="238" t="s">
        <v>327</v>
      </c>
      <c r="I24" s="429"/>
      <c r="K24" s="22"/>
    </row>
    <row r="25" spans="1:11">
      <c r="B25" s="219"/>
      <c r="C25" s="187" t="s">
        <v>126</v>
      </c>
      <c r="D25" s="187"/>
      <c r="E25" s="161"/>
      <c r="F25" s="189"/>
      <c r="G25" s="81"/>
      <c r="H25" s="188"/>
      <c r="I25" s="428"/>
      <c r="K25" s="22"/>
    </row>
    <row r="26" spans="1:11" ht="216">
      <c r="B26" s="400">
        <v>9</v>
      </c>
      <c r="C26" s="405" t="s">
        <v>196</v>
      </c>
      <c r="D26" s="401" t="s">
        <v>413</v>
      </c>
      <c r="E26" s="402"/>
      <c r="F26" s="423" t="s">
        <v>31</v>
      </c>
      <c r="G26" s="463"/>
      <c r="H26" s="238" t="s">
        <v>319</v>
      </c>
      <c r="I26" s="429"/>
      <c r="K26" s="22"/>
    </row>
    <row r="27" spans="1:11" ht="161.4">
      <c r="B27" s="400">
        <v>10</v>
      </c>
      <c r="C27" s="401"/>
      <c r="D27" s="401" t="s">
        <v>414</v>
      </c>
      <c r="E27" s="402"/>
      <c r="F27" s="407" t="s">
        <v>27</v>
      </c>
      <c r="G27" s="463"/>
      <c r="H27" s="238" t="s">
        <v>317</v>
      </c>
      <c r="I27" s="429"/>
      <c r="K27" s="22"/>
    </row>
    <row r="28" spans="1:11">
      <c r="B28" s="219"/>
      <c r="C28" s="187" t="s">
        <v>127</v>
      </c>
      <c r="D28" s="187"/>
      <c r="E28" s="161"/>
      <c r="F28" s="189"/>
      <c r="G28" s="81"/>
      <c r="H28" s="188"/>
      <c r="I28" s="428"/>
      <c r="K28" s="22"/>
    </row>
    <row r="29" spans="1:11" s="3" customFormat="1" ht="252">
      <c r="A29" s="222"/>
      <c r="B29" s="469">
        <v>11</v>
      </c>
      <c r="C29" s="405" t="s">
        <v>424</v>
      </c>
      <c r="D29" s="401" t="s">
        <v>423</v>
      </c>
      <c r="E29" s="402"/>
      <c r="F29" s="407" t="s">
        <v>30</v>
      </c>
      <c r="G29" s="463"/>
      <c r="H29" s="238" t="s">
        <v>422</v>
      </c>
      <c r="I29" s="429"/>
      <c r="J29" s="470"/>
      <c r="K29" s="471"/>
    </row>
    <row r="30" spans="1:11" ht="216">
      <c r="B30" s="400">
        <v>12</v>
      </c>
      <c r="C30" s="405" t="s">
        <v>197</v>
      </c>
      <c r="D30" s="401" t="s">
        <v>407</v>
      </c>
      <c r="E30" s="402"/>
      <c r="F30" s="407" t="s">
        <v>121</v>
      </c>
      <c r="G30" s="463"/>
      <c r="H30" s="238" t="s">
        <v>320</v>
      </c>
      <c r="I30" s="429"/>
      <c r="K30" s="22"/>
    </row>
    <row r="31" spans="1:11" ht="125.4">
      <c r="B31" s="400">
        <v>13</v>
      </c>
      <c r="C31" s="401"/>
      <c r="D31" s="401" t="s">
        <v>308</v>
      </c>
      <c r="E31" s="402"/>
      <c r="F31" s="407" t="s">
        <v>27</v>
      </c>
      <c r="G31" s="463"/>
      <c r="H31" s="238" t="s">
        <v>321</v>
      </c>
      <c r="I31" s="429"/>
      <c r="K31" s="22"/>
    </row>
    <row r="32" spans="1:11">
      <c r="B32" s="219"/>
      <c r="C32" s="269" t="s">
        <v>128</v>
      </c>
      <c r="D32" s="187"/>
      <c r="E32" s="161"/>
      <c r="F32" s="189"/>
      <c r="G32" s="81"/>
      <c r="H32" s="188"/>
      <c r="I32" s="428"/>
      <c r="K32" s="22"/>
    </row>
    <row r="33" spans="2:11" ht="204">
      <c r="B33" s="400">
        <v>14</v>
      </c>
      <c r="C33" s="405" t="s">
        <v>198</v>
      </c>
      <c r="D33" s="401" t="s">
        <v>415</v>
      </c>
      <c r="E33" s="404"/>
      <c r="F33" s="407" t="s">
        <v>33</v>
      </c>
      <c r="G33" s="463"/>
      <c r="H33" s="238" t="s">
        <v>322</v>
      </c>
      <c r="I33" s="429"/>
      <c r="K33" s="22"/>
    </row>
    <row r="34" spans="2:11" ht="187.2">
      <c r="B34" s="400">
        <v>15</v>
      </c>
      <c r="C34" s="405" t="s">
        <v>199</v>
      </c>
      <c r="D34" s="401" t="s">
        <v>408</v>
      </c>
      <c r="E34" s="404"/>
      <c r="F34" s="407" t="s">
        <v>33</v>
      </c>
      <c r="G34" s="463"/>
      <c r="H34" s="238" t="s">
        <v>323</v>
      </c>
      <c r="I34" s="429"/>
      <c r="K34" s="22"/>
    </row>
    <row r="35" spans="2:11">
      <c r="B35" s="219"/>
      <c r="C35" s="269" t="s">
        <v>129</v>
      </c>
      <c r="D35" s="187"/>
      <c r="E35" s="161"/>
      <c r="F35" s="189"/>
      <c r="G35" s="81"/>
      <c r="H35" s="188"/>
      <c r="I35" s="428"/>
      <c r="K35" s="22"/>
    </row>
    <row r="36" spans="2:11" ht="216">
      <c r="B36" s="400">
        <v>16</v>
      </c>
      <c r="C36" s="405" t="s">
        <v>193</v>
      </c>
      <c r="D36" s="401" t="s">
        <v>409</v>
      </c>
      <c r="E36" s="404"/>
      <c r="F36" s="407" t="s">
        <v>33</v>
      </c>
      <c r="G36" s="463"/>
      <c r="H36" s="238" t="s">
        <v>325</v>
      </c>
      <c r="I36" s="429"/>
      <c r="K36" s="22"/>
    </row>
    <row r="37" spans="2:11" ht="101.4">
      <c r="B37" s="400">
        <v>17</v>
      </c>
      <c r="C37" s="401"/>
      <c r="D37" s="401" t="s">
        <v>309</v>
      </c>
      <c r="E37" s="404"/>
      <c r="F37" s="407" t="s">
        <v>33</v>
      </c>
      <c r="G37" s="463"/>
      <c r="H37" s="238" t="s">
        <v>324</v>
      </c>
      <c r="I37" s="429"/>
      <c r="K37" s="22"/>
    </row>
    <row r="38" spans="2:11">
      <c r="B38" s="219"/>
      <c r="C38" s="187" t="s">
        <v>299</v>
      </c>
      <c r="D38" s="187"/>
      <c r="E38" s="161"/>
      <c r="F38" s="189"/>
      <c r="G38" s="81"/>
      <c r="H38" s="188"/>
      <c r="I38" s="428"/>
      <c r="K38" s="22"/>
    </row>
    <row r="39" spans="2:11" ht="223.2">
      <c r="B39" s="400">
        <v>18</v>
      </c>
      <c r="C39" s="401"/>
      <c r="D39" s="467" t="s">
        <v>412</v>
      </c>
      <c r="E39" s="412"/>
      <c r="F39" s="403" t="s">
        <v>174</v>
      </c>
      <c r="G39" s="463"/>
      <c r="H39" s="238" t="s">
        <v>410</v>
      </c>
      <c r="I39" s="429"/>
      <c r="K39" s="22"/>
    </row>
    <row r="40" spans="2:11">
      <c r="B40" s="17" t="s">
        <v>191</v>
      </c>
      <c r="K40" s="22"/>
    </row>
    <row r="41" spans="2:11">
      <c r="K41" s="22"/>
    </row>
    <row r="42" spans="2:11">
      <c r="K42" s="22"/>
    </row>
    <row r="43" spans="2:11">
      <c r="K43" s="22"/>
    </row>
    <row r="44" spans="2:11">
      <c r="K44" s="22"/>
    </row>
    <row r="45" spans="2:11">
      <c r="K45" s="22"/>
    </row>
    <row r="46" spans="2:11">
      <c r="K46" s="22"/>
    </row>
  </sheetData>
  <sheetProtection sheet="1" objects="1" scenarios="1"/>
  <protectedRanges>
    <protectedRange sqref="I8:I39" name="Rationale"/>
    <protectedRange sqref="E8:E12" name="Project_Info"/>
    <protectedRange sqref="E14:E15" name="Form_Item_4"/>
    <protectedRange sqref="E17:E18" name="Form_Item_8"/>
    <protectedRange sqref="E20:E21" name="Form_Item_9"/>
    <protectedRange sqref="E23:E24" name="Form_Item_10"/>
    <protectedRange sqref="E26:E27" name="Form_Item_12"/>
    <protectedRange sqref="E29:E31" name="Form_Item_13"/>
    <protectedRange sqref="E33:E34" name="Form_Item_17"/>
    <protectedRange sqref="E36:E37" name="Form_Item_18"/>
    <protectedRange sqref="E39" name="Existing_Securities"/>
  </protectedRanges>
  <mergeCells count="1">
    <mergeCell ref="B3:H5"/>
  </mergeCells>
  <phoneticPr fontId="8" type="noConversion"/>
  <conditionalFormatting sqref="I5">
    <cfRule type="expression" dxfId="117" priority="265">
      <formula>COUNTA($E$13:$E$39)&gt;=MAX($B$13:$B$39)</formula>
    </cfRule>
  </conditionalFormatting>
  <dataValidations count="10">
    <dataValidation type="decimal" operator="greaterThanOrEqual" allowBlank="1" showErrorMessage="1" prompt="Ener the total capacity of the fuel containers - volume is part of cleanup calculations" sqref="E29 E39" xr:uid="{6EF9A986-68C5-42CA-8EF6-619804F8F228}">
      <formula1>0</formula1>
    </dataValidation>
    <dataValidation type="decimal" operator="greaterThanOrEqual" showErrorMessage="1" prompt="Enter mobilization distance of site from Yellowknife" sqref="E14" xr:uid="{413543BD-B6D8-42EB-AACF-F3B541F1B58E}">
      <formula1>0</formula1>
    </dataValidation>
    <dataValidation type="decimal" operator="greaterThanOrEqual" allowBlank="1" showErrorMessage="1" prompt="Enter total area 'to be used' as described in Application Form" sqref="E18" xr:uid="{55D56FAB-1EB2-46D8-B113-A0E3D65970B7}">
      <formula1>0</formula1>
    </dataValidation>
    <dataValidation type="decimal" operator="greaterThanOrEqual" allowBlank="1" showErrorMessage="1" prompt="Enter total area of camp buildings (sum individual building areas)" sqref="E20" xr:uid="{B6442BB9-E927-4F12-B1E9-9B8C907D6713}">
      <formula1>0</formula1>
    </dataValidation>
    <dataValidation type="decimal" operator="greaterThanOrEqual" allowBlank="1" showErrorMessage="1" prompt="Enter the total weight of camp buildings that will be left on-site - request from operator, if required, or check operator's mobilization plan" sqref="E21" xr:uid="{E7B577C8-6420-4E93-81C1-09EC6C5B99D7}">
      <formula1>0</formula1>
    </dataValidation>
    <dataValidation type="decimal" operator="greaterThanOrEqual" allowBlank="1" showErrorMessage="1" prompt="Enter the total number of heavy equipment that will be left on-site for land-use operations" sqref="E26" xr:uid="{D4B4D244-7825-4855-873F-1C15D250FF60}">
      <formula1>0</formula1>
    </dataValidation>
    <dataValidation type="decimal" operator="greaterThanOrEqual" allowBlank="1" showErrorMessage="1" prompt="Enter the total tonnage of work equipment that will be left on site - sum the individual equipment weights, which are required to be listed as part of the 2019 Guide" sqref="E27" xr:uid="{35B2AAA3-3EA9-4B4A-80C3-5CA265317329}">
      <formula1>0</formula1>
    </dataValidation>
    <dataValidation type="decimal" operator="greaterThanOrEqual" allowBlank="1" showErrorMessage="1" prompt="Enter the total number of fuel drums - smaller containers can be omitted" sqref="E30" xr:uid="{D5F1FC97-73A2-480D-8326-C0A141C31ABF}">
      <formula1>0</formula1>
    </dataValidation>
    <dataValidation type="decimal" operator="greaterThanOrEqual" allowBlank="1" showErrorMessage="1" prompt="Enter the total weight of fuel tanks - to be used for disposal costs" sqref="E31" xr:uid="{113AAB2D-BD9A-4E51-A0D3-3A90FFDF1E5F}">
      <formula1>0</formula1>
    </dataValidation>
    <dataValidation type="decimal" operator="greaterThanOrEqual" allowBlank="1" showErrorMessage="1" prompt="Enter total length of required winter road construction for mobilization" sqref="E24" xr:uid="{4EC159BE-11C4-4450-9016-935424BD8757}">
      <formula1>0</formula1>
    </dataValidation>
  </dataValidations>
  <pageMargins left="0.31496062992125984" right="0.31496062992125984" top="0.55118110236220474" bottom="0.35433070866141736" header="0.31496062992125984" footer="0.31496062992125984"/>
  <pageSetup scale="69" fitToHeight="12" orientation="portrait" horizontalDpi="1200" verticalDpi="1200" r:id="rId1"/>
  <headerFooter>
    <oddHeader>&amp;R&amp;K00-023Mackenzie Valley Land-Use Closure and Reclamation Tool - Closue Costs</oddHeader>
    <oddFooter>&amp;C&amp;K00-033BCL/ DXB&amp;R&amp;K00-033Page &amp;P of &amp;N</oddFooter>
  </headerFooter>
  <rowBreaks count="3" manualBreakCount="3">
    <brk id="15" max="16383" man="1"/>
    <brk id="30" max="16383" man="1"/>
    <brk id="34" max="16383" man="1"/>
  </rowBreak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error="Please use picklist by clicking on the small arrow in the bottom right-hand corner of this cell." prompt="Please use picklist by clicking on the small arrow in the bottom bottom right-hand corner of this cell." xr:uid="{DC367CC0-5377-4908-B90F-D99EB14F9602}">
          <x14:formula1>
            <xm:f>'SYS_ Gen'!$F$9:$F$11</xm:f>
          </x14:formula1>
          <xm:sqref>E15</xm:sqref>
        </x14:dataValidation>
        <x14:dataValidation type="list" allowBlank="1" showInputMessage="1" showErrorMessage="1" error="Please use picklist by clicking on the small arrow in the bottom right-hand corner of this cell." prompt="Please use picklist by clicking on the small arrow in the bottom right-hand corner of this cell." xr:uid="{D5055F7B-01A2-42CC-BE95-FD50C2CFDCD9}">
          <x14:formula1>
            <xm:f>'SYS_ Gen'!$F$6:$F$7</xm:f>
          </x14:formula1>
          <xm:sqref>E33:E34 E36:E37 E17</xm:sqref>
        </x14:dataValidation>
        <x14:dataValidation type="list" allowBlank="1" showInputMessage="1" showErrorMessage="1" error="Please use picklist by clicking on the small arrow in the bottom right-hand corner of this cell." prompt="Please use picklist by clicking on the small arrow in the bottom right-hand corner of this cell." xr:uid="{EB12C2DB-7DC2-4185-90CF-515BA693B2CD}">
          <x14:formula1>
            <xm:f>'SYS_ Gen'!$F$13:$F$15</xm:f>
          </x14:formula1>
          <xm:sqref>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AEB49-1B5B-4C41-AA57-D6F2918FCCC7}">
  <sheetPr codeName="Sheet3">
    <tabColor rgb="FFE7FFFF"/>
  </sheetPr>
  <dimension ref="A1:M78"/>
  <sheetViews>
    <sheetView zoomScaleNormal="100" workbookViewId="0">
      <pane xSplit="3" ySplit="6" topLeftCell="D7" activePane="bottomRight" state="frozen"/>
      <selection activeCell="B16" sqref="B16"/>
      <selection pane="topRight" activeCell="B16" sqref="B16"/>
      <selection pane="bottomLeft" activeCell="B16" sqref="B16"/>
      <selection pane="bottomRight" activeCell="R10" sqref="R10"/>
    </sheetView>
  </sheetViews>
  <sheetFormatPr defaultColWidth="8.77734375" defaultRowHeight="18"/>
  <cols>
    <col min="1" max="1" width="1.6640625" style="8" customWidth="1"/>
    <col min="2" max="2" width="6.6640625" style="1" customWidth="1"/>
    <col min="3" max="3" width="36.6640625" style="3" customWidth="1"/>
    <col min="4" max="4" width="12.6640625" style="3" customWidth="1"/>
    <col min="5" max="5" width="6.6640625" style="3" customWidth="1"/>
    <col min="6" max="6" width="24.6640625" style="3" customWidth="1"/>
    <col min="7" max="7" width="14.6640625" style="6" customWidth="1"/>
    <col min="8" max="8" width="8.6640625" style="6" customWidth="1"/>
    <col min="9" max="9" width="14.6640625" style="6" customWidth="1"/>
    <col min="10" max="10" width="8.6640625" style="6" customWidth="1"/>
    <col min="11" max="11" width="1.6640625" style="6" customWidth="1"/>
    <col min="12" max="12" width="18.6640625" style="6" customWidth="1"/>
    <col min="13" max="13" width="1.6640625" style="26" customWidth="1"/>
    <col min="14" max="16384" width="8.77734375" style="1"/>
  </cols>
  <sheetData>
    <row r="1" spans="1:13">
      <c r="A1" s="218" t="str">
        <f>'Costing Questions'!B1</f>
        <v>Closure and Reclamation Tool - Closure Costs_Project Name</v>
      </c>
    </row>
    <row r="2" spans="1:13" ht="10.050000000000001" customHeight="1" thickBot="1"/>
    <row r="3" spans="1:13" ht="31.05" customHeight="1">
      <c r="A3" s="222" t="s">
        <v>239</v>
      </c>
      <c r="B3" s="481" t="s">
        <v>428</v>
      </c>
      <c r="C3" s="482"/>
      <c r="D3" s="482"/>
      <c r="E3" s="482"/>
      <c r="F3" s="482"/>
      <c r="G3" s="482"/>
      <c r="H3" s="482"/>
      <c r="I3" s="482"/>
      <c r="J3" s="482"/>
      <c r="K3" s="483"/>
      <c r="L3" s="413" t="s">
        <v>295</v>
      </c>
    </row>
    <row r="4" spans="1:13" ht="18.600000000000001" thickBot="1">
      <c r="A4" s="222"/>
      <c r="B4" s="484"/>
      <c r="C4" s="485"/>
      <c r="D4" s="485"/>
      <c r="E4" s="485"/>
      <c r="F4" s="485"/>
      <c r="G4" s="485"/>
      <c r="H4" s="485"/>
      <c r="I4" s="485"/>
      <c r="J4" s="485"/>
      <c r="K4" s="486"/>
      <c r="L4" s="414">
        <f>'Closure Costs'!$E$3</f>
        <v>0</v>
      </c>
    </row>
    <row r="5" spans="1:13" ht="10.050000000000001" customHeight="1"/>
    <row r="6" spans="1:13" s="13" customFormat="1" ht="46.8">
      <c r="A6" s="323" t="s">
        <v>238</v>
      </c>
      <c r="B6" s="422" t="s">
        <v>376</v>
      </c>
      <c r="C6" s="223" t="s">
        <v>2</v>
      </c>
      <c r="D6" s="159" t="s">
        <v>377</v>
      </c>
      <c r="E6" s="223" t="s">
        <v>209</v>
      </c>
      <c r="F6" s="223" t="s">
        <v>217</v>
      </c>
      <c r="G6" s="225" t="s">
        <v>89</v>
      </c>
      <c r="H6" s="225" t="s">
        <v>3</v>
      </c>
      <c r="I6" s="225" t="s">
        <v>101</v>
      </c>
      <c r="J6" s="225" t="s">
        <v>378</v>
      </c>
      <c r="K6" s="80" t="s">
        <v>0</v>
      </c>
      <c r="L6" s="160" t="s">
        <v>379</v>
      </c>
      <c r="M6" s="27"/>
    </row>
    <row r="7" spans="1:13">
      <c r="B7" s="258" t="s">
        <v>186</v>
      </c>
      <c r="C7" s="236"/>
      <c r="D7" s="280"/>
      <c r="E7" s="294"/>
      <c r="F7" s="263"/>
      <c r="G7" s="299"/>
      <c r="H7" s="237"/>
      <c r="I7" s="260"/>
      <c r="J7" s="260"/>
      <c r="K7" s="255"/>
      <c r="L7" s="445"/>
    </row>
    <row r="8" spans="1:13">
      <c r="B8" s="247"/>
      <c r="C8" s="240" t="s">
        <v>216</v>
      </c>
      <c r="D8" s="278"/>
      <c r="E8" s="293"/>
      <c r="F8" s="261"/>
      <c r="G8" s="281"/>
      <c r="H8" s="242"/>
      <c r="I8" s="249"/>
      <c r="J8" s="249"/>
      <c r="K8" s="81"/>
      <c r="L8" s="446"/>
    </row>
    <row r="9" spans="1:13">
      <c r="B9" s="250"/>
      <c r="C9" s="282" t="s">
        <v>227</v>
      </c>
      <c r="D9" s="279">
        <f>'Activity Rates Worksheet'!L61</f>
        <v>0</v>
      </c>
      <c r="E9" s="246" t="s">
        <v>74</v>
      </c>
      <c r="F9" s="262"/>
      <c r="G9" s="281"/>
      <c r="H9" s="242"/>
      <c r="I9" s="252"/>
      <c r="J9" s="252"/>
      <c r="K9" s="81"/>
      <c r="L9" s="447"/>
    </row>
    <row r="10" spans="1:13">
      <c r="B10" s="250"/>
      <c r="C10" s="282" t="s">
        <v>228</v>
      </c>
      <c r="D10" s="279">
        <f>'Activity Rates Worksheet'!M61</f>
        <v>0</v>
      </c>
      <c r="E10" s="246" t="s">
        <v>74</v>
      </c>
      <c r="F10" s="262"/>
      <c r="G10" s="256"/>
      <c r="H10" s="242"/>
      <c r="I10" s="252"/>
      <c r="J10" s="252"/>
      <c r="K10" s="81"/>
      <c r="L10" s="447"/>
    </row>
    <row r="11" spans="1:13" ht="156">
      <c r="B11" s="250"/>
      <c r="C11" s="228" t="s">
        <v>382</v>
      </c>
      <c r="D11" s="279"/>
      <c r="E11" s="246"/>
      <c r="F11" s="261" t="s">
        <v>229</v>
      </c>
      <c r="G11" s="266"/>
      <c r="H11" s="242" t="s">
        <v>185</v>
      </c>
      <c r="I11" s="252"/>
      <c r="J11" s="252"/>
      <c r="K11" s="81"/>
      <c r="L11" s="448" t="s">
        <v>393</v>
      </c>
    </row>
    <row r="12" spans="1:13">
      <c r="B12" s="253"/>
      <c r="C12" s="254" t="s">
        <v>184</v>
      </c>
      <c r="D12" s="308"/>
      <c r="E12" s="297"/>
      <c r="F12" s="298"/>
      <c r="G12" s="299"/>
      <c r="H12" s="300"/>
      <c r="I12" s="384">
        <f>G11</f>
        <v>0</v>
      </c>
      <c r="J12" s="301" t="s">
        <v>225</v>
      </c>
      <c r="K12" s="255"/>
      <c r="L12" s="447"/>
    </row>
    <row r="13" spans="1:13">
      <c r="B13" s="258" t="s">
        <v>187</v>
      </c>
      <c r="C13" s="236"/>
      <c r="D13" s="280"/>
      <c r="E13" s="294"/>
      <c r="F13" s="263"/>
      <c r="G13" s="259"/>
      <c r="H13" s="237"/>
      <c r="I13" s="260"/>
      <c r="J13" s="260"/>
      <c r="K13" s="255"/>
      <c r="L13" s="445"/>
    </row>
    <row r="14" spans="1:13">
      <c r="B14" s="247"/>
      <c r="C14" s="240" t="s">
        <v>216</v>
      </c>
      <c r="D14" s="278"/>
      <c r="E14" s="293"/>
      <c r="F14" s="265"/>
      <c r="G14" s="281"/>
      <c r="H14" s="242"/>
      <c r="I14" s="249"/>
      <c r="J14" s="249"/>
      <c r="K14" s="81"/>
      <c r="L14" s="446"/>
    </row>
    <row r="15" spans="1:13">
      <c r="B15" s="247"/>
      <c r="C15" s="282" t="s">
        <v>380</v>
      </c>
      <c r="D15" s="278">
        <f>'Unit Rates Worksheet'!N30</f>
        <v>1000</v>
      </c>
      <c r="E15" s="293" t="s">
        <v>28</v>
      </c>
      <c r="F15" s="261"/>
      <c r="G15" s="281"/>
      <c r="H15" s="242"/>
      <c r="I15" s="249"/>
      <c r="J15" s="249"/>
      <c r="K15" s="81"/>
      <c r="L15" s="446"/>
    </row>
    <row r="16" spans="1:13">
      <c r="B16" s="247"/>
      <c r="C16" s="282" t="s">
        <v>381</v>
      </c>
      <c r="D16" s="278">
        <f>'Unit Rates Worksheet'!N31</f>
        <v>13000</v>
      </c>
      <c r="E16" s="293" t="s">
        <v>28</v>
      </c>
      <c r="F16" s="261"/>
      <c r="G16" s="256"/>
      <c r="H16" s="242"/>
      <c r="I16" s="249"/>
      <c r="J16" s="249"/>
      <c r="K16" s="81"/>
      <c r="L16" s="446"/>
    </row>
    <row r="17" spans="2:12" ht="108">
      <c r="B17" s="250"/>
      <c r="C17" s="228" t="s">
        <v>383</v>
      </c>
      <c r="D17" s="279"/>
      <c r="E17" s="246"/>
      <c r="F17" s="261" t="s">
        <v>200</v>
      </c>
      <c r="G17" s="266"/>
      <c r="H17" s="242" t="s">
        <v>130</v>
      </c>
      <c r="I17" s="252"/>
      <c r="J17" s="252"/>
      <c r="K17" s="81"/>
      <c r="L17" s="448" t="s">
        <v>394</v>
      </c>
    </row>
    <row r="18" spans="2:12">
      <c r="B18" s="253"/>
      <c r="C18" s="254" t="s">
        <v>184</v>
      </c>
      <c r="D18" s="308"/>
      <c r="E18" s="297"/>
      <c r="F18" s="298"/>
      <c r="G18" s="299"/>
      <c r="H18" s="300"/>
      <c r="I18" s="384">
        <f>G17</f>
        <v>0</v>
      </c>
      <c r="J18" s="301" t="s">
        <v>130</v>
      </c>
      <c r="K18" s="302"/>
      <c r="L18" s="447"/>
    </row>
    <row r="19" spans="2:12">
      <c r="B19" s="283" t="s">
        <v>215</v>
      </c>
      <c r="C19" s="284"/>
      <c r="D19" s="309"/>
      <c r="E19" s="295"/>
      <c r="F19" s="285"/>
      <c r="G19" s="286"/>
      <c r="H19" s="287"/>
      <c r="I19" s="288"/>
      <c r="J19" s="288"/>
      <c r="K19" s="289"/>
      <c r="L19" s="445"/>
    </row>
    <row r="20" spans="2:12">
      <c r="B20" s="247"/>
      <c r="C20" s="240" t="s">
        <v>232</v>
      </c>
      <c r="D20" s="278"/>
      <c r="E20" s="293"/>
      <c r="F20" s="261"/>
      <c r="G20" s="257"/>
      <c r="H20" s="242"/>
      <c r="I20" s="249"/>
      <c r="J20" s="249"/>
      <c r="K20" s="81"/>
      <c r="L20" s="446"/>
    </row>
    <row r="21" spans="2:12">
      <c r="B21" s="247"/>
      <c r="C21" s="282" t="s">
        <v>387</v>
      </c>
      <c r="D21" s="278">
        <f>'Unit Rates Worksheet'!N32</f>
        <v>25000</v>
      </c>
      <c r="E21" s="293"/>
      <c r="F21" s="261"/>
      <c r="G21" s="257"/>
      <c r="H21" s="242"/>
      <c r="I21" s="249"/>
      <c r="J21" s="249"/>
      <c r="K21" s="81"/>
      <c r="L21" s="446"/>
    </row>
    <row r="22" spans="2:12">
      <c r="B22" s="247"/>
      <c r="C22" s="282" t="s">
        <v>386</v>
      </c>
      <c r="D22" s="278">
        <f>'Activity Rates Worksheet'!M$36</f>
        <v>0</v>
      </c>
      <c r="E22" s="293" t="s">
        <v>219</v>
      </c>
      <c r="F22" s="261"/>
      <c r="G22" s="257"/>
      <c r="H22" s="242"/>
      <c r="I22" s="249"/>
      <c r="J22" s="249"/>
      <c r="K22" s="81"/>
      <c r="L22" s="446"/>
    </row>
    <row r="23" spans="2:12" ht="48">
      <c r="B23" s="247"/>
      <c r="C23" s="240" t="s">
        <v>384</v>
      </c>
      <c r="D23" s="278"/>
      <c r="E23" s="293"/>
      <c r="F23" s="261"/>
      <c r="G23" s="229"/>
      <c r="H23" s="242"/>
      <c r="I23" s="249"/>
      <c r="J23" s="249"/>
      <c r="K23" s="81"/>
      <c r="L23" s="446"/>
    </row>
    <row r="24" spans="2:12" ht="24">
      <c r="B24" s="247"/>
      <c r="C24" s="240" t="s">
        <v>0</v>
      </c>
      <c r="D24" s="278"/>
      <c r="E24" s="293"/>
      <c r="F24" s="261" t="s">
        <v>220</v>
      </c>
      <c r="G24" s="266"/>
      <c r="H24" s="242" t="s">
        <v>99</v>
      </c>
      <c r="I24" s="249"/>
      <c r="J24" s="249"/>
      <c r="K24" s="81"/>
      <c r="L24" s="448"/>
    </row>
    <row r="25" spans="2:12" ht="36">
      <c r="B25" s="247"/>
      <c r="C25" s="240" t="s">
        <v>0</v>
      </c>
      <c r="D25" s="278"/>
      <c r="E25" s="293"/>
      <c r="F25" s="261" t="s">
        <v>221</v>
      </c>
      <c r="G25" s="291"/>
      <c r="H25" s="242" t="s">
        <v>100</v>
      </c>
      <c r="I25" s="249" t="s">
        <v>224</v>
      </c>
      <c r="J25" s="249"/>
      <c r="K25" s="81"/>
      <c r="L25" s="448"/>
    </row>
    <row r="26" spans="2:12">
      <c r="B26" s="247"/>
      <c r="C26" s="240" t="s">
        <v>0</v>
      </c>
      <c r="D26" s="278"/>
      <c r="E26" s="293"/>
      <c r="F26" s="261" t="s">
        <v>112</v>
      </c>
      <c r="G26" s="290"/>
      <c r="H26" s="242" t="s">
        <v>100</v>
      </c>
      <c r="I26" s="249"/>
      <c r="J26" s="249"/>
      <c r="K26" s="81"/>
      <c r="L26" s="448"/>
    </row>
    <row r="27" spans="2:12">
      <c r="B27" s="247"/>
      <c r="C27" s="240" t="s">
        <v>0</v>
      </c>
      <c r="D27" s="278"/>
      <c r="E27" s="293"/>
      <c r="F27" s="261" t="s">
        <v>113</v>
      </c>
      <c r="G27" s="290"/>
      <c r="H27" s="242" t="s">
        <v>100</v>
      </c>
      <c r="I27" s="249"/>
      <c r="J27" s="249"/>
      <c r="K27" s="81"/>
      <c r="L27" s="448"/>
    </row>
    <row r="28" spans="2:12">
      <c r="B28" s="247"/>
      <c r="C28" s="240" t="s">
        <v>0</v>
      </c>
      <c r="D28" s="278"/>
      <c r="E28" s="293"/>
      <c r="F28" s="261" t="s">
        <v>114</v>
      </c>
      <c r="G28" s="292"/>
      <c r="H28" s="242" t="s">
        <v>100</v>
      </c>
      <c r="I28" s="249"/>
      <c r="J28" s="249"/>
      <c r="K28" s="81"/>
      <c r="L28" s="448"/>
    </row>
    <row r="29" spans="2:12" ht="24">
      <c r="B29" s="247"/>
      <c r="C29" s="240" t="s">
        <v>0</v>
      </c>
      <c r="D29" s="278"/>
      <c r="E29" s="293"/>
      <c r="F29" s="261" t="s">
        <v>222</v>
      </c>
      <c r="G29" s="266"/>
      <c r="H29" s="242" t="s">
        <v>102</v>
      </c>
      <c r="I29" s="249"/>
      <c r="J29" s="249"/>
      <c r="K29" s="81"/>
      <c r="L29" s="448"/>
    </row>
    <row r="30" spans="2:12">
      <c r="B30" s="250"/>
      <c r="C30" s="240" t="s">
        <v>0</v>
      </c>
      <c r="D30" s="279"/>
      <c r="E30" s="246"/>
      <c r="F30" s="262" t="s">
        <v>223</v>
      </c>
      <c r="G30" s="266"/>
      <c r="H30" s="230" t="s">
        <v>100</v>
      </c>
      <c r="I30" s="252"/>
      <c r="J30" s="252"/>
      <c r="K30" s="81"/>
      <c r="L30" s="448"/>
    </row>
    <row r="31" spans="2:12">
      <c r="B31" s="253"/>
      <c r="C31" s="254" t="s">
        <v>172</v>
      </c>
      <c r="D31" s="308"/>
      <c r="E31" s="297"/>
      <c r="F31" s="298"/>
      <c r="G31" s="299"/>
      <c r="H31" s="300"/>
      <c r="I31" s="384">
        <f>G24*(D22+SUM(G25:G28))*G29+G30</f>
        <v>0</v>
      </c>
      <c r="J31" s="301"/>
      <c r="K31" s="255"/>
      <c r="L31" s="447"/>
    </row>
    <row r="32" spans="2:12">
      <c r="B32" s="258" t="s">
        <v>226</v>
      </c>
      <c r="C32" s="236"/>
      <c r="D32" s="280"/>
      <c r="E32" s="294"/>
      <c r="F32" s="307"/>
      <c r="G32" s="259"/>
      <c r="H32" s="237"/>
      <c r="I32" s="260"/>
      <c r="J32" s="260"/>
      <c r="K32" s="255"/>
      <c r="L32" s="449"/>
    </row>
    <row r="33" spans="2:12">
      <c r="B33" s="247"/>
      <c r="C33" s="240" t="s">
        <v>232</v>
      </c>
      <c r="D33" s="278"/>
      <c r="E33" s="293"/>
      <c r="F33" s="303"/>
      <c r="G33" s="257"/>
      <c r="H33" s="242"/>
      <c r="I33" s="249"/>
      <c r="J33" s="249"/>
      <c r="K33" s="81"/>
      <c r="L33" s="450"/>
    </row>
    <row r="34" spans="2:12">
      <c r="B34" s="247"/>
      <c r="C34" s="282" t="s">
        <v>385</v>
      </c>
      <c r="D34" s="278">
        <f>RATE_TBL3[[#This Row],[Calculated Unit Rate]]</f>
        <v>15000</v>
      </c>
      <c r="E34" s="293"/>
      <c r="F34" s="303"/>
      <c r="G34" s="257"/>
      <c r="H34" s="242"/>
      <c r="I34" s="249"/>
      <c r="J34" s="249"/>
      <c r="K34" s="81"/>
      <c r="L34" s="450"/>
    </row>
    <row r="35" spans="2:12">
      <c r="B35" s="247"/>
      <c r="C35" s="282" t="s">
        <v>386</v>
      </c>
      <c r="D35" s="278">
        <f>'Activity Rates Worksheet'!M$36</f>
        <v>0</v>
      </c>
      <c r="E35" s="293" t="s">
        <v>219</v>
      </c>
      <c r="F35" s="303"/>
      <c r="G35" s="257"/>
      <c r="H35" s="242"/>
      <c r="I35" s="249"/>
      <c r="J35" s="249"/>
      <c r="K35" s="81"/>
      <c r="L35" s="450"/>
    </row>
    <row r="36" spans="2:12" ht="48">
      <c r="B36" s="247"/>
      <c r="C36" s="240" t="s">
        <v>384</v>
      </c>
      <c r="D36" s="278"/>
      <c r="E36" s="293"/>
      <c r="F36" s="303"/>
      <c r="G36" s="257"/>
      <c r="H36" s="242"/>
      <c r="I36" s="249"/>
      <c r="J36" s="249"/>
      <c r="K36" s="81"/>
      <c r="L36" s="450"/>
    </row>
    <row r="37" spans="2:12" ht="24">
      <c r="B37" s="247"/>
      <c r="C37" s="240" t="s">
        <v>0</v>
      </c>
      <c r="D37" s="278"/>
      <c r="E37" s="293"/>
      <c r="F37" s="261" t="s">
        <v>220</v>
      </c>
      <c r="G37" s="266"/>
      <c r="H37" s="242" t="s">
        <v>99</v>
      </c>
      <c r="I37" s="249"/>
      <c r="J37" s="249"/>
      <c r="K37" s="81"/>
      <c r="L37" s="448"/>
    </row>
    <row r="38" spans="2:12" ht="48">
      <c r="B38" s="247"/>
      <c r="C38" s="240" t="s">
        <v>0</v>
      </c>
      <c r="D38" s="278"/>
      <c r="E38" s="293"/>
      <c r="F38" s="261" t="s">
        <v>221</v>
      </c>
      <c r="G38" s="291"/>
      <c r="H38" s="242" t="s">
        <v>100</v>
      </c>
      <c r="I38" s="249" t="s">
        <v>369</v>
      </c>
      <c r="J38" s="249"/>
      <c r="K38" s="81"/>
      <c r="L38" s="448"/>
    </row>
    <row r="39" spans="2:12">
      <c r="B39" s="247"/>
      <c r="C39" s="240" t="s">
        <v>0</v>
      </c>
      <c r="D39" s="278"/>
      <c r="E39" s="293"/>
      <c r="F39" s="261" t="s">
        <v>112</v>
      </c>
      <c r="G39" s="290"/>
      <c r="H39" s="242" t="s">
        <v>100</v>
      </c>
      <c r="I39" s="249"/>
      <c r="J39" s="249"/>
      <c r="K39" s="81"/>
      <c r="L39" s="448"/>
    </row>
    <row r="40" spans="2:12">
      <c r="B40" s="247"/>
      <c r="C40" s="240" t="s">
        <v>0</v>
      </c>
      <c r="D40" s="278"/>
      <c r="E40" s="293"/>
      <c r="F40" s="261" t="s">
        <v>113</v>
      </c>
      <c r="G40" s="290"/>
      <c r="H40" s="242" t="s">
        <v>100</v>
      </c>
      <c r="I40" s="249"/>
      <c r="J40" s="249"/>
      <c r="K40" s="81"/>
      <c r="L40" s="448"/>
    </row>
    <row r="41" spans="2:12">
      <c r="B41" s="247"/>
      <c r="C41" s="240" t="s">
        <v>0</v>
      </c>
      <c r="D41" s="278"/>
      <c r="E41" s="293"/>
      <c r="F41" s="261" t="s">
        <v>114</v>
      </c>
      <c r="G41" s="292"/>
      <c r="H41" s="242" t="s">
        <v>100</v>
      </c>
      <c r="I41" s="249"/>
      <c r="J41" s="249"/>
      <c r="K41" s="81"/>
      <c r="L41" s="448"/>
    </row>
    <row r="42" spans="2:12" ht="24">
      <c r="B42" s="247"/>
      <c r="C42" s="240" t="s">
        <v>0</v>
      </c>
      <c r="D42" s="278"/>
      <c r="E42" s="293"/>
      <c r="F42" s="261" t="s">
        <v>222</v>
      </c>
      <c r="G42" s="266"/>
      <c r="H42" s="242" t="s">
        <v>102</v>
      </c>
      <c r="I42" s="249"/>
      <c r="J42" s="249"/>
      <c r="K42" s="81"/>
      <c r="L42" s="448"/>
    </row>
    <row r="43" spans="2:12">
      <c r="B43" s="247"/>
      <c r="C43" s="240"/>
      <c r="D43" s="278"/>
      <c r="E43" s="293"/>
      <c r="F43" s="262" t="s">
        <v>223</v>
      </c>
      <c r="G43" s="266"/>
      <c r="H43" s="230" t="s">
        <v>100</v>
      </c>
      <c r="I43" s="249"/>
      <c r="J43" s="249"/>
      <c r="K43" s="81"/>
      <c r="L43" s="448" t="s">
        <v>395</v>
      </c>
    </row>
    <row r="44" spans="2:12">
      <c r="B44" s="253"/>
      <c r="C44" s="254" t="s">
        <v>172</v>
      </c>
      <c r="D44" s="308"/>
      <c r="E44" s="297"/>
      <c r="F44" s="305"/>
      <c r="G44" s="306"/>
      <c r="H44" s="300"/>
      <c r="I44" s="384">
        <f>G37*(D35+SUM(G38:G41))*G42+G43</f>
        <v>0</v>
      </c>
      <c r="J44" s="301"/>
      <c r="K44" s="255"/>
      <c r="L44" s="451"/>
    </row>
    <row r="45" spans="2:12">
      <c r="B45" s="258" t="s">
        <v>188</v>
      </c>
      <c r="C45" s="236"/>
      <c r="D45" s="280"/>
      <c r="E45" s="294"/>
      <c r="F45" s="307"/>
      <c r="G45" s="315"/>
      <c r="H45" s="237"/>
      <c r="I45" s="260"/>
      <c r="J45" s="260"/>
      <c r="K45" s="255"/>
      <c r="L45" s="449"/>
    </row>
    <row r="46" spans="2:12">
      <c r="B46" s="247"/>
      <c r="C46" s="240" t="s">
        <v>233</v>
      </c>
      <c r="D46" s="278"/>
      <c r="E46" s="293"/>
      <c r="F46" s="303"/>
      <c r="G46" s="319"/>
      <c r="H46" s="242"/>
      <c r="I46" s="249"/>
      <c r="J46" s="249"/>
      <c r="K46" s="81"/>
      <c r="L46" s="450"/>
    </row>
    <row r="47" spans="2:12">
      <c r="B47" s="247"/>
      <c r="C47" s="282" t="s">
        <v>234</v>
      </c>
      <c r="D47" s="278">
        <f>'Unit Rates Worksheet'!N34</f>
        <v>15000</v>
      </c>
      <c r="E47" s="293"/>
      <c r="F47" s="303"/>
      <c r="G47" s="320"/>
      <c r="H47" s="242"/>
      <c r="I47" s="249"/>
      <c r="J47" s="249"/>
      <c r="K47" s="81"/>
      <c r="L47" s="450"/>
    </row>
    <row r="48" spans="2:12" ht="48">
      <c r="B48" s="247"/>
      <c r="C48" s="240" t="s">
        <v>388</v>
      </c>
      <c r="D48" s="316"/>
      <c r="E48" s="317"/>
      <c r="F48" s="303"/>
      <c r="G48" s="318"/>
      <c r="H48" s="242" t="s">
        <v>173</v>
      </c>
      <c r="I48" s="249"/>
      <c r="J48" s="249"/>
      <c r="K48" s="81"/>
      <c r="L48" s="448"/>
    </row>
    <row r="49" spans="2:12">
      <c r="B49" s="253"/>
      <c r="C49" s="254" t="s">
        <v>172</v>
      </c>
      <c r="D49" s="308"/>
      <c r="E49" s="297"/>
      <c r="F49" s="305"/>
      <c r="G49" s="299"/>
      <c r="H49" s="300"/>
      <c r="I49" s="384">
        <f>G48</f>
        <v>0</v>
      </c>
      <c r="J49" s="301"/>
      <c r="K49" s="255"/>
      <c r="L49" s="451"/>
    </row>
    <row r="50" spans="2:12">
      <c r="B50" s="258" t="s">
        <v>236</v>
      </c>
      <c r="C50" s="236"/>
      <c r="D50" s="280"/>
      <c r="E50" s="294"/>
      <c r="F50" s="310"/>
      <c r="G50" s="259"/>
      <c r="H50" s="237"/>
      <c r="I50" s="260"/>
      <c r="J50" s="260"/>
      <c r="K50" s="255"/>
      <c r="L50" s="445"/>
    </row>
    <row r="51" spans="2:12">
      <c r="B51" s="247"/>
      <c r="C51" s="240" t="s">
        <v>233</v>
      </c>
      <c r="D51" s="278"/>
      <c r="E51" s="293"/>
      <c r="F51" s="312"/>
      <c r="G51" s="257"/>
      <c r="H51" s="242"/>
      <c r="I51" s="249"/>
      <c r="J51" s="249"/>
      <c r="K51" s="81"/>
      <c r="L51" s="446"/>
    </row>
    <row r="52" spans="2:12">
      <c r="B52" s="247"/>
      <c r="C52" s="282" t="s">
        <v>235</v>
      </c>
      <c r="D52" s="278">
        <f>'Unit Rates Worksheet'!N35</f>
        <v>15000</v>
      </c>
      <c r="E52" s="293"/>
      <c r="F52" s="312"/>
      <c r="G52" s="257"/>
      <c r="H52" s="242"/>
      <c r="I52" s="249"/>
      <c r="J52" s="249"/>
      <c r="K52" s="81"/>
      <c r="L52" s="446"/>
    </row>
    <row r="53" spans="2:12" ht="48">
      <c r="B53" s="247"/>
      <c r="C53" s="240" t="s">
        <v>388</v>
      </c>
      <c r="D53" s="316"/>
      <c r="E53" s="293"/>
      <c r="F53" s="312"/>
      <c r="G53" s="318"/>
      <c r="H53" s="242" t="s">
        <v>173</v>
      </c>
      <c r="I53" s="249"/>
      <c r="J53" s="249"/>
      <c r="K53" s="81"/>
      <c r="L53" s="448"/>
    </row>
    <row r="54" spans="2:12">
      <c r="B54" s="253"/>
      <c r="C54" s="254" t="s">
        <v>172</v>
      </c>
      <c r="D54" s="308"/>
      <c r="E54" s="297"/>
      <c r="F54" s="264"/>
      <c r="G54" s="306"/>
      <c r="H54" s="300"/>
      <c r="I54" s="384">
        <f>G53</f>
        <v>0</v>
      </c>
      <c r="J54" s="301"/>
      <c r="K54" s="255"/>
      <c r="L54" s="447"/>
    </row>
    <row r="55" spans="2:12">
      <c r="B55" s="258" t="s">
        <v>237</v>
      </c>
      <c r="C55" s="236"/>
      <c r="D55" s="280"/>
      <c r="E55" s="294"/>
      <c r="F55" s="310"/>
      <c r="G55" s="259"/>
      <c r="H55" s="237"/>
      <c r="I55" s="260"/>
      <c r="J55" s="260"/>
      <c r="K55" s="255"/>
      <c r="L55" s="445"/>
    </row>
    <row r="56" spans="2:12">
      <c r="B56" s="247"/>
      <c r="C56" s="240" t="s">
        <v>233</v>
      </c>
      <c r="D56" s="278"/>
      <c r="E56" s="293"/>
      <c r="F56" s="312"/>
      <c r="G56" s="257"/>
      <c r="H56" s="242"/>
      <c r="I56" s="249"/>
      <c r="J56" s="249"/>
      <c r="K56" s="81"/>
      <c r="L56" s="446"/>
    </row>
    <row r="57" spans="2:12">
      <c r="B57" s="247"/>
      <c r="C57" s="282" t="s">
        <v>235</v>
      </c>
      <c r="D57" s="278">
        <f>'Unit Rates Worksheet'!I36</f>
        <v>30000</v>
      </c>
      <c r="E57" s="293"/>
      <c r="F57" s="312"/>
      <c r="G57" s="229"/>
      <c r="H57" s="242"/>
      <c r="I57" s="249"/>
      <c r="J57" s="249"/>
      <c r="K57" s="81"/>
      <c r="L57" s="446"/>
    </row>
    <row r="58" spans="2:12" ht="48">
      <c r="B58" s="247"/>
      <c r="C58" s="240" t="s">
        <v>388</v>
      </c>
      <c r="D58" s="316"/>
      <c r="E58" s="293"/>
      <c r="F58" s="312"/>
      <c r="G58" s="318"/>
      <c r="H58" s="242" t="s">
        <v>173</v>
      </c>
      <c r="I58" s="249"/>
      <c r="J58" s="249"/>
      <c r="K58" s="81"/>
      <c r="L58" s="448"/>
    </row>
    <row r="59" spans="2:12">
      <c r="B59" s="253"/>
      <c r="C59" s="254" t="s">
        <v>172</v>
      </c>
      <c r="D59" s="308"/>
      <c r="E59" s="297"/>
      <c r="F59" s="264"/>
      <c r="G59" s="299"/>
      <c r="H59" s="300"/>
      <c r="I59" s="384">
        <f>G58</f>
        <v>0</v>
      </c>
      <c r="J59" s="301"/>
      <c r="K59" s="255"/>
      <c r="L59" s="447"/>
    </row>
    <row r="60" spans="2:12">
      <c r="B60" s="258" t="s">
        <v>230</v>
      </c>
      <c r="C60" s="236"/>
      <c r="D60" s="280"/>
      <c r="E60" s="294"/>
      <c r="F60" s="310"/>
      <c r="G60" s="311"/>
      <c r="H60" s="237"/>
      <c r="I60" s="260"/>
      <c r="J60" s="260"/>
      <c r="K60" s="255"/>
      <c r="L60" s="445"/>
    </row>
    <row r="61" spans="2:12">
      <c r="B61" s="247"/>
      <c r="C61" s="240" t="s">
        <v>216</v>
      </c>
      <c r="D61" s="278"/>
      <c r="E61" s="293"/>
      <c r="F61" s="312"/>
      <c r="G61" s="281"/>
      <c r="H61" s="242"/>
      <c r="I61" s="249"/>
      <c r="J61" s="249"/>
      <c r="K61" s="81"/>
      <c r="L61" s="446"/>
    </row>
    <row r="62" spans="2:12">
      <c r="B62" s="247"/>
      <c r="C62" s="282" t="s">
        <v>218</v>
      </c>
      <c r="D62" s="278">
        <f>'Activity Rates Worksheet'!M$36</f>
        <v>0</v>
      </c>
      <c r="E62" s="293" t="s">
        <v>219</v>
      </c>
      <c r="F62" s="312"/>
      <c r="G62" s="281"/>
      <c r="H62" s="242"/>
      <c r="I62" s="249"/>
      <c r="J62" s="249"/>
      <c r="K62" s="81"/>
      <c r="L62" s="446"/>
    </row>
    <row r="63" spans="2:12" ht="24">
      <c r="B63" s="247"/>
      <c r="C63" s="240" t="s">
        <v>389</v>
      </c>
      <c r="D63" s="278"/>
      <c r="E63" s="293"/>
      <c r="F63" s="312"/>
      <c r="G63" s="281"/>
      <c r="H63" s="242"/>
      <c r="I63" s="249"/>
      <c r="J63" s="249"/>
      <c r="K63" s="81"/>
      <c r="L63" s="446"/>
    </row>
    <row r="64" spans="2:12" ht="24">
      <c r="B64" s="247"/>
      <c r="C64" s="240" t="s">
        <v>0</v>
      </c>
      <c r="D64" s="278"/>
      <c r="E64" s="293"/>
      <c r="F64" s="261" t="s">
        <v>220</v>
      </c>
      <c r="G64" s="266"/>
      <c r="H64" s="242" t="s">
        <v>99</v>
      </c>
      <c r="I64" s="249"/>
      <c r="J64" s="249"/>
      <c r="K64" s="81"/>
      <c r="L64" s="448"/>
    </row>
    <row r="65" spans="2:12" ht="24">
      <c r="B65" s="247"/>
      <c r="C65" s="240" t="s">
        <v>0</v>
      </c>
      <c r="D65" s="278"/>
      <c r="E65" s="293"/>
      <c r="F65" s="261" t="s">
        <v>221</v>
      </c>
      <c r="G65" s="291"/>
      <c r="H65" s="242" t="s">
        <v>100</v>
      </c>
      <c r="I65" s="249"/>
      <c r="J65" s="249"/>
      <c r="K65" s="81"/>
      <c r="L65" s="448"/>
    </row>
    <row r="66" spans="2:12">
      <c r="B66" s="247"/>
      <c r="C66" s="240" t="s">
        <v>0</v>
      </c>
      <c r="D66" s="278"/>
      <c r="E66" s="293"/>
      <c r="F66" s="261" t="s">
        <v>112</v>
      </c>
      <c r="G66" s="290"/>
      <c r="H66" s="242" t="s">
        <v>100</v>
      </c>
      <c r="I66" s="249"/>
      <c r="J66" s="249"/>
      <c r="K66" s="81"/>
      <c r="L66" s="448"/>
    </row>
    <row r="67" spans="2:12">
      <c r="B67" s="247"/>
      <c r="C67" s="240" t="s">
        <v>0</v>
      </c>
      <c r="D67" s="278"/>
      <c r="E67" s="293"/>
      <c r="F67" s="261" t="s">
        <v>113</v>
      </c>
      <c r="G67" s="290"/>
      <c r="H67" s="242" t="s">
        <v>100</v>
      </c>
      <c r="I67" s="249"/>
      <c r="J67" s="249"/>
      <c r="K67" s="81"/>
      <c r="L67" s="448"/>
    </row>
    <row r="68" spans="2:12">
      <c r="B68" s="247"/>
      <c r="C68" s="240" t="s">
        <v>0</v>
      </c>
      <c r="D68" s="278"/>
      <c r="E68" s="293"/>
      <c r="F68" s="261" t="s">
        <v>114</v>
      </c>
      <c r="G68" s="292"/>
      <c r="H68" s="242" t="s">
        <v>100</v>
      </c>
      <c r="I68" s="249"/>
      <c r="J68" s="249"/>
      <c r="K68" s="81"/>
      <c r="L68" s="448"/>
    </row>
    <row r="69" spans="2:12" ht="24">
      <c r="B69" s="247"/>
      <c r="C69" s="240" t="s">
        <v>0</v>
      </c>
      <c r="D69" s="278"/>
      <c r="E69" s="293"/>
      <c r="F69" s="261" t="s">
        <v>401</v>
      </c>
      <c r="G69" s="266"/>
      <c r="H69" s="242" t="s">
        <v>102</v>
      </c>
      <c r="I69" s="249"/>
      <c r="J69" s="249"/>
      <c r="K69" s="81"/>
      <c r="L69" s="448"/>
    </row>
    <row r="70" spans="2:12">
      <c r="B70" s="247"/>
      <c r="C70" s="240"/>
      <c r="D70" s="278"/>
      <c r="E70" s="293"/>
      <c r="F70" s="262" t="s">
        <v>223</v>
      </c>
      <c r="G70" s="266"/>
      <c r="H70" s="230" t="s">
        <v>100</v>
      </c>
      <c r="I70" s="249"/>
      <c r="J70" s="249"/>
      <c r="K70" s="81"/>
      <c r="L70" s="448"/>
    </row>
    <row r="71" spans="2:12">
      <c r="B71" s="253"/>
      <c r="C71" s="254" t="s">
        <v>172</v>
      </c>
      <c r="D71" s="308"/>
      <c r="E71" s="297"/>
      <c r="F71" s="264"/>
      <c r="G71" s="313"/>
      <c r="H71" s="300"/>
      <c r="I71" s="384">
        <f>G64*(D62+SUM(G65:G68))*G69+G70</f>
        <v>0</v>
      </c>
      <c r="J71" s="301"/>
      <c r="K71" s="255"/>
      <c r="L71" s="447"/>
    </row>
    <row r="72" spans="2:12">
      <c r="B72" s="258" t="s">
        <v>189</v>
      </c>
      <c r="C72" s="236"/>
      <c r="D72" s="280"/>
      <c r="E72" s="294"/>
      <c r="F72" s="307"/>
      <c r="G72" s="314"/>
      <c r="H72" s="237"/>
      <c r="I72" s="260"/>
      <c r="J72" s="260"/>
      <c r="K72" s="255"/>
      <c r="L72" s="449"/>
    </row>
    <row r="73" spans="2:12">
      <c r="B73" s="247"/>
      <c r="C73" s="304" t="s">
        <v>179</v>
      </c>
      <c r="D73" s="316"/>
      <c r="E73" s="317"/>
      <c r="F73" s="303"/>
      <c r="G73" s="318"/>
      <c r="H73" s="242" t="s">
        <v>173</v>
      </c>
      <c r="I73" s="249"/>
      <c r="J73" s="249"/>
      <c r="K73" s="81"/>
      <c r="L73" s="448" t="s">
        <v>371</v>
      </c>
    </row>
    <row r="74" spans="2:12">
      <c r="B74" s="247"/>
      <c r="C74" s="304" t="s">
        <v>180</v>
      </c>
      <c r="D74" s="316"/>
      <c r="E74" s="317"/>
      <c r="F74" s="303"/>
      <c r="G74" s="318"/>
      <c r="H74" s="242" t="s">
        <v>173</v>
      </c>
      <c r="I74" s="249"/>
      <c r="J74" s="249"/>
      <c r="K74" s="81"/>
      <c r="L74" s="448" t="s">
        <v>372</v>
      </c>
    </row>
    <row r="75" spans="2:12">
      <c r="B75" s="247"/>
      <c r="C75" s="304" t="s">
        <v>181</v>
      </c>
      <c r="D75" s="316"/>
      <c r="E75" s="317"/>
      <c r="F75" s="303"/>
      <c r="G75" s="318"/>
      <c r="H75" s="242" t="s">
        <v>173</v>
      </c>
      <c r="I75" s="249"/>
      <c r="J75" s="249"/>
      <c r="K75" s="81"/>
      <c r="L75" s="448"/>
    </row>
    <row r="76" spans="2:12">
      <c r="B76" s="247"/>
      <c r="C76" s="304" t="s">
        <v>17</v>
      </c>
      <c r="D76" s="316"/>
      <c r="E76" s="317"/>
      <c r="F76" s="303"/>
      <c r="G76" s="318"/>
      <c r="H76" s="242" t="s">
        <v>173</v>
      </c>
      <c r="I76" s="249"/>
      <c r="J76" s="249"/>
      <c r="K76" s="81"/>
      <c r="L76" s="448"/>
    </row>
    <row r="77" spans="2:12">
      <c r="B77" s="253"/>
      <c r="C77" s="254" t="s">
        <v>231</v>
      </c>
      <c r="D77" s="308"/>
      <c r="E77" s="297"/>
      <c r="F77" s="305"/>
      <c r="G77" s="299"/>
      <c r="H77" s="300"/>
      <c r="I77" s="384">
        <f>SUM(G73:G77)</f>
        <v>0</v>
      </c>
      <c r="J77" s="301"/>
      <c r="K77" s="255"/>
      <c r="L77" s="451"/>
    </row>
    <row r="78" spans="2:12" ht="10.050000000000001" customHeight="1"/>
  </sheetData>
  <sheetProtection sheet="1" objects="1" scenarios="1"/>
  <protectedRanges>
    <protectedRange sqref="L7:L77" name="Rationale"/>
    <protectedRange sqref="G73:G76" name="I"/>
    <protectedRange sqref="G64:G70" name="H"/>
    <protectedRange sqref="G58" name="G"/>
    <protectedRange sqref="G53" name="F"/>
    <protectedRange sqref="G48" name="E"/>
    <protectedRange sqref="G37:G43" name="D"/>
    <protectedRange sqref="G24:G30" name="C"/>
    <protectedRange sqref="G17" name="B"/>
    <protectedRange sqref="G11" name="A"/>
  </protectedRanges>
  <mergeCells count="1">
    <mergeCell ref="B3:K4"/>
  </mergeCells>
  <dataValidations count="1">
    <dataValidation allowBlank="1" showInputMessage="1" showErrorMessage="1" prompt="Reference Text - copy and paste from Application Form" sqref="F15:F31 F7:F13 F37:F43 F64:F70" xr:uid="{9F514886-0A4F-41BA-9A09-74FFCEDF41C3}"/>
  </dataValidations>
  <pageMargins left="0.31496062992125984" right="0.31496062992125984" top="0.74803149606299213" bottom="0.55118110236220474" header="0.31496062992125984" footer="0.31496062992125984"/>
  <pageSetup scale="70" fitToHeight="12" orientation="portrait" horizontalDpi="1200" verticalDpi="1200" r:id="rId1"/>
  <headerFooter>
    <oddHeader>&amp;R&amp;K00-023Mackenzie Valley Land-Use Closure and Reclamation Tool - Closure Costs</oddHeader>
    <oddFooter>&amp;C&amp;K00-033BCL/ DXB&amp;R&amp;K00-033Page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DFF37-0A73-4144-8815-C32896B11C5B}">
  <sheetPr codeName="Sheet4">
    <tabColor theme="0" tint="-0.249977111117893"/>
  </sheetPr>
  <dimension ref="A1:R89"/>
  <sheetViews>
    <sheetView zoomScaleNormal="100" workbookViewId="0">
      <pane xSplit="5" ySplit="5" topLeftCell="F6" activePane="bottomRight" state="frozen"/>
      <selection activeCell="B3" sqref="B3:K4"/>
      <selection pane="topRight" activeCell="B3" sqref="B3:K4"/>
      <selection pane="bottomLeft" activeCell="B3" sqref="B3:K4"/>
      <selection pane="bottomRight" activeCell="O10" sqref="O10"/>
    </sheetView>
  </sheetViews>
  <sheetFormatPr defaultColWidth="8.77734375" defaultRowHeight="18" outlineLevelCol="1"/>
  <cols>
    <col min="1" max="1" width="1.6640625" style="8" customWidth="1"/>
    <col min="2" max="3" width="8.6640625" style="1" customWidth="1"/>
    <col min="4" max="4" width="6.6640625" style="1" customWidth="1"/>
    <col min="5" max="5" width="36.6640625" style="3" customWidth="1"/>
    <col min="6" max="6" width="14.6640625" style="7" customWidth="1"/>
    <col min="7" max="8" width="14.6640625" style="1" customWidth="1"/>
    <col min="9" max="9" width="14.6640625" style="1" hidden="1" customWidth="1" outlineLevel="1"/>
    <col min="10" max="10" width="14.6640625" style="1" customWidth="1" collapsed="1"/>
    <col min="11" max="11" width="14.6640625" style="1" customWidth="1"/>
    <col min="12" max="12" width="1.6640625" style="26" customWidth="1"/>
    <col min="13" max="14" width="14.6640625" style="141" customWidth="1"/>
    <col min="15" max="16384" width="8.77734375" style="1"/>
  </cols>
  <sheetData>
    <row r="1" spans="1:18">
      <c r="A1" s="218" t="str">
        <f>'Costing Questions'!B1</f>
        <v>Closure and Reclamation Tool - Closure Costs_Project Name</v>
      </c>
    </row>
    <row r="2" spans="1:18" ht="10.050000000000001" customHeight="1" thickBot="1"/>
    <row r="3" spans="1:18" ht="18.600000000000001" thickBot="1">
      <c r="B3" s="398" t="s">
        <v>295</v>
      </c>
      <c r="C3" s="333"/>
      <c r="D3" s="399"/>
      <c r="E3" s="415">
        <f>SUM(OUT_TBL[Closure Costs])</f>
        <v>0</v>
      </c>
    </row>
    <row r="4" spans="1:18" ht="10.050000000000001" customHeight="1"/>
    <row r="5" spans="1:18" s="13" customFormat="1" ht="46.8">
      <c r="A5" s="323" t="s">
        <v>238</v>
      </c>
      <c r="B5" s="159" t="s">
        <v>132</v>
      </c>
      <c r="C5" s="159" t="s">
        <v>131</v>
      </c>
      <c r="D5" s="159" t="s">
        <v>133</v>
      </c>
      <c r="E5" s="159" t="s">
        <v>21</v>
      </c>
      <c r="F5" s="160" t="s">
        <v>66</v>
      </c>
      <c r="G5" s="160" t="s">
        <v>3</v>
      </c>
      <c r="H5" s="160" t="s">
        <v>40</v>
      </c>
      <c r="I5" s="160" t="s">
        <v>277</v>
      </c>
      <c r="J5" s="160" t="s">
        <v>366</v>
      </c>
      <c r="K5" s="160" t="s">
        <v>56</v>
      </c>
      <c r="L5" s="27"/>
      <c r="M5" s="155"/>
      <c r="N5" s="155"/>
      <c r="O5" s="156"/>
      <c r="P5" s="156"/>
      <c r="Q5" s="156"/>
      <c r="R5" s="156"/>
    </row>
    <row r="6" spans="1:18">
      <c r="B6" s="169" t="s">
        <v>43</v>
      </c>
      <c r="C6" s="170"/>
      <c r="D6" s="170"/>
      <c r="E6" s="171"/>
      <c r="F6" s="172"/>
      <c r="G6" s="173"/>
      <c r="H6" s="174"/>
      <c r="I6" s="175"/>
      <c r="J6" s="174"/>
      <c r="K6" s="176">
        <f>SUM(J6:J41)</f>
        <v>0</v>
      </c>
      <c r="M6" s="157"/>
      <c r="N6" s="157"/>
      <c r="O6" s="158"/>
      <c r="P6" s="158"/>
      <c r="Q6" s="158"/>
      <c r="R6" s="158"/>
    </row>
    <row r="7" spans="1:18">
      <c r="B7" s="204">
        <f>'Quantities Worksheet'!C6</f>
        <v>1</v>
      </c>
      <c r="C7" s="205" t="str">
        <f>'Quantities Worksheet'!D6</f>
        <v>Land Restoration</v>
      </c>
      <c r="D7" s="205"/>
      <c r="E7" s="187"/>
      <c r="F7" s="161"/>
      <c r="G7" s="206"/>
      <c r="H7" s="207"/>
      <c r="I7" s="208"/>
      <c r="J7" s="207"/>
      <c r="K7" s="209">
        <f>SUM(J7:J14)</f>
        <v>0</v>
      </c>
    </row>
    <row r="8" spans="1:18">
      <c r="B8" s="86"/>
      <c r="C8" s="87" t="str">
        <f>'Quantities Worksheet'!D7</f>
        <v>a</v>
      </c>
      <c r="D8" s="87" t="str">
        <f>'Quantities Worksheet'!E7</f>
        <v>Land Restoration</v>
      </c>
      <c r="E8" s="23"/>
      <c r="F8" s="88"/>
      <c r="G8" s="89"/>
      <c r="H8" s="90"/>
      <c r="I8" s="91"/>
      <c r="J8" s="90"/>
      <c r="K8" s="151"/>
    </row>
    <row r="9" spans="1:18" ht="36">
      <c r="B9" s="48"/>
      <c r="C9" s="49"/>
      <c r="D9" s="49">
        <f>'Quantities Worksheet'!E8</f>
        <v>1.01</v>
      </c>
      <c r="E9" s="18" t="str">
        <f>'Quantities Worksheet'!F8</f>
        <v xml:space="preserve">Does land restoration require the use of heavy equipment?
</v>
      </c>
      <c r="F9" s="50" t="str">
        <f>'Quantities Worksheet'!P8</f>
        <v>No</v>
      </c>
      <c r="G9" s="92" t="str">
        <f>'Quantities Worksheet'!Q8</f>
        <v>Y/ N</v>
      </c>
      <c r="H9" s="93" t="str">
        <f>'Activity Rates Worksheet'!Q8</f>
        <v>n/a</v>
      </c>
      <c r="I9" s="94"/>
      <c r="J9" s="93">
        <f>SUM(F9:G9)*SUM(H9:I9)</f>
        <v>0</v>
      </c>
      <c r="K9" s="152"/>
    </row>
    <row r="10" spans="1:18" ht="144">
      <c r="B10" s="85"/>
      <c r="C10" s="95"/>
      <c r="D10" s="95">
        <f>'Quantities Worksheet'!E9</f>
        <v>1.02</v>
      </c>
      <c r="E10" s="15" t="str">
        <f>'Quantities Worksheet'!F9</f>
        <v xml:space="preserve">Restoration of land, as required:
→ underground portals 
→ large fuel storage containment cells &amp; containment berms
→ earth moving or land clearing excavations, stockpiles, quarries &amp; drainage channels
→ access roads &amp; airstrips
→ large areas where topsoil or vegetation was removed
→ building foundations and demolition of large buildings
</v>
      </c>
      <c r="F10" s="50" t="str">
        <f>'Quantities Worksheet'!P9</f>
        <v>No Work</v>
      </c>
      <c r="G10" s="92" t="str">
        <f>'Quantities Worksheet'!Q9</f>
        <v>ha</v>
      </c>
      <c r="H10" s="93">
        <f>'Activity Rates Worksheet'!Q9</f>
        <v>5878.4210526315792</v>
      </c>
      <c r="I10" s="94"/>
      <c r="J10" s="93">
        <f>SUM(F10:G10)*SUM(H10:I10)</f>
        <v>0</v>
      </c>
      <c r="K10" s="152"/>
    </row>
    <row r="11" spans="1:18" ht="24">
      <c r="B11" s="85"/>
      <c r="C11" s="95"/>
      <c r="D11" s="95">
        <f>'Quantities Worksheet'!E10</f>
        <v>1.03</v>
      </c>
      <c r="E11" s="15" t="str">
        <f>'Quantities Worksheet'!F10</f>
        <v xml:space="preserve">Placement of salvaged topsoil and/or organics
</v>
      </c>
      <c r="F11" s="50" t="str">
        <f>'Quantities Worksheet'!P10</f>
        <v>No Work</v>
      </c>
      <c r="G11" s="92" t="str">
        <f>'Quantities Worksheet'!Q10</f>
        <v>cu.m</v>
      </c>
      <c r="H11" s="93">
        <f>'Activity Rates Worksheet'!Q10</f>
        <v>12.692045454545454</v>
      </c>
      <c r="I11" s="94"/>
      <c r="J11" s="93">
        <f>SUM(F11:G11)*SUM(H11:I11)</f>
        <v>0</v>
      </c>
      <c r="K11" s="152"/>
    </row>
    <row r="12" spans="1:18" ht="24">
      <c r="B12" s="85"/>
      <c r="C12" s="95"/>
      <c r="D12" s="95">
        <f>'Quantities Worksheet'!E11</f>
        <v>1.04</v>
      </c>
      <c r="E12" s="15" t="str">
        <f>'Quantities Worksheet'!F11</f>
        <v xml:space="preserve">Application of fertilizer
</v>
      </c>
      <c r="F12" s="50" t="str">
        <f>'Quantities Worksheet'!P11</f>
        <v>No Work</v>
      </c>
      <c r="G12" s="92" t="str">
        <f>'Quantities Worksheet'!Q11</f>
        <v>ha</v>
      </c>
      <c r="H12" s="93">
        <f>'Activity Rates Worksheet'!Q11</f>
        <v>1979.3999999999999</v>
      </c>
      <c r="I12" s="94"/>
      <c r="J12" s="93">
        <f>SUM(F12:G12)*SUM(H12:I12)</f>
        <v>0</v>
      </c>
      <c r="K12" s="152"/>
    </row>
    <row r="13" spans="1:18" ht="24">
      <c r="B13" s="85"/>
      <c r="C13" s="95"/>
      <c r="D13" s="95">
        <f>'Quantities Worksheet'!E12</f>
        <v>1.05</v>
      </c>
      <c r="E13" s="15" t="str">
        <f>'Quantities Worksheet'!F12</f>
        <v xml:space="preserve">Seeding/ planting
</v>
      </c>
      <c r="F13" s="50" t="str">
        <f>'Quantities Worksheet'!P12</f>
        <v>No Work</v>
      </c>
      <c r="G13" s="92" t="str">
        <f>'Quantities Worksheet'!Q12</f>
        <v>ha</v>
      </c>
      <c r="H13" s="93">
        <f>'Activity Rates Worksheet'!Q12</f>
        <v>2005.6499999999999</v>
      </c>
      <c r="I13" s="94"/>
      <c r="J13" s="93">
        <f>SUM(F13:G13)*SUM(H13:I13)</f>
        <v>0</v>
      </c>
      <c r="K13" s="152"/>
    </row>
    <row r="14" spans="1:18">
      <c r="B14" s="179">
        <f>'Quantities Worksheet'!C13</f>
        <v>2</v>
      </c>
      <c r="C14" s="180" t="str">
        <f>'Quantities Worksheet'!D13</f>
        <v>Removal of Abandoned Equipment and Buildings (Demobilization component in Section 5)</v>
      </c>
      <c r="D14" s="180"/>
      <c r="E14" s="167"/>
      <c r="F14" s="168"/>
      <c r="G14" s="181"/>
      <c r="H14" s="182"/>
      <c r="I14" s="183"/>
      <c r="J14" s="182"/>
      <c r="K14" s="184">
        <f>SUM(J14:J23)</f>
        <v>0</v>
      </c>
    </row>
    <row r="15" spans="1:18">
      <c r="B15" s="86"/>
      <c r="C15" s="87" t="str">
        <f>'Quantities Worksheet'!D14</f>
        <v>a</v>
      </c>
      <c r="D15" s="87" t="str">
        <f>'Quantities Worksheet'!E14</f>
        <v>Prepare Abandoned Equipment for removal/ demobilization</v>
      </c>
      <c r="E15" s="23"/>
      <c r="F15" s="88"/>
      <c r="G15" s="89"/>
      <c r="H15" s="90"/>
      <c r="I15" s="91"/>
      <c r="J15" s="90"/>
      <c r="K15" s="151"/>
    </row>
    <row r="16" spans="1:18" ht="24">
      <c r="B16" s="85"/>
      <c r="C16" s="95"/>
      <c r="D16" s="95">
        <f>'Quantities Worksheet'!E15</f>
        <v>2.0099999999999998</v>
      </c>
      <c r="E16" s="15" t="str">
        <f>'Quantities Worksheet'!F15</f>
        <v xml:space="preserve">Prepare equipment for demobilization
</v>
      </c>
      <c r="F16" s="50">
        <f>'Quantities Worksheet'!P15</f>
        <v>0</v>
      </c>
      <c r="G16" s="92" t="str">
        <f>'Quantities Worksheet'!Q15</f>
        <v>pieces of equipment</v>
      </c>
      <c r="H16" s="93">
        <f>'Activity Rates Worksheet'!Q15</f>
        <v>73.609090909090909</v>
      </c>
      <c r="I16" s="94"/>
      <c r="J16" s="93">
        <f>SUM(F16:G16)*SUM(H16:I16)</f>
        <v>0</v>
      </c>
      <c r="K16" s="152"/>
    </row>
    <row r="17" spans="2:11">
      <c r="B17" s="86"/>
      <c r="C17" s="87" t="str">
        <f>'Quantities Worksheet'!D16</f>
        <v>b</v>
      </c>
      <c r="D17" s="87" t="str">
        <f>'Quantities Worksheet'!E16</f>
        <v>Prepare Abandoned Camp/ Buildings/ Infrastructure for removal/ demobilization</v>
      </c>
      <c r="E17" s="23"/>
      <c r="F17" s="88"/>
      <c r="G17" s="89"/>
      <c r="H17" s="90"/>
      <c r="I17" s="91"/>
      <c r="J17" s="90"/>
      <c r="K17" s="151"/>
    </row>
    <row r="18" spans="2:11" ht="24">
      <c r="B18" s="85"/>
      <c r="C18" s="95"/>
      <c r="D18" s="95">
        <f>'Quantities Worksheet'!E17</f>
        <v>2.0199999999999996</v>
      </c>
      <c r="E18" s="15" t="str">
        <f>'Quantities Worksheet'!F17</f>
        <v xml:space="preserve">Consolidation of scrap/ garbage
</v>
      </c>
      <c r="F18" s="50">
        <f>'Quantities Worksheet'!P17</f>
        <v>0</v>
      </c>
      <c r="G18" s="92" t="str">
        <f>'Quantities Worksheet'!Q17</f>
        <v>ha</v>
      </c>
      <c r="H18" s="93">
        <f>'Activity Rates Worksheet'!Q17</f>
        <v>809.69999999999993</v>
      </c>
      <c r="I18" s="94"/>
      <c r="J18" s="93">
        <f>SUM(F18:G18)*SUM(H18:I18)</f>
        <v>0</v>
      </c>
      <c r="K18" s="152"/>
    </row>
    <row r="19" spans="2:11" ht="36">
      <c r="B19" s="85"/>
      <c r="C19" s="95"/>
      <c r="D19" s="95">
        <f>'Quantities Worksheet'!E18</f>
        <v>2.0299999999999994</v>
      </c>
      <c r="E19" s="15" t="str">
        <f>'Quantities Worksheet'!F18</f>
        <v xml:space="preserve">Demolish/ dismantle camp/ buildings/ infrastructure
</v>
      </c>
      <c r="F19" s="50">
        <f>'Quantities Worksheet'!P18</f>
        <v>0</v>
      </c>
      <c r="G19" s="92" t="str">
        <f>'Quantities Worksheet'!Q18</f>
        <v>sq.m</v>
      </c>
      <c r="H19" s="93">
        <f>'Activity Rates Worksheet'!Q18</f>
        <v>40.484999999999999</v>
      </c>
      <c r="I19" s="94"/>
      <c r="J19" s="93">
        <f>SUM(F19:G19)*SUM(H19:I19)</f>
        <v>0</v>
      </c>
      <c r="K19" s="152"/>
    </row>
    <row r="20" spans="2:11">
      <c r="B20" s="86"/>
      <c r="C20" s="87" t="str">
        <f>'Quantities Worksheet'!D19</f>
        <v>c</v>
      </c>
      <c r="D20" s="87" t="str">
        <f>'Quantities Worksheet'!E19</f>
        <v>Disposal Costs</v>
      </c>
      <c r="E20" s="23"/>
      <c r="F20" s="88"/>
      <c r="G20" s="89"/>
      <c r="H20" s="90"/>
      <c r="I20" s="91"/>
      <c r="J20" s="90"/>
      <c r="K20" s="151"/>
    </row>
    <row r="21" spans="2:11" ht="36">
      <c r="B21" s="85"/>
      <c r="C21" s="95"/>
      <c r="D21" s="95">
        <f>'Quantities Worksheet'!E20</f>
        <v>2.04</v>
      </c>
      <c r="E21" s="15" t="str">
        <f>'Quantities Worksheet'!F20</f>
        <v xml:space="preserve">Waste transport to southern disposal facility from support city
</v>
      </c>
      <c r="F21" s="50">
        <f>'Quantities Worksheet'!P20</f>
        <v>0</v>
      </c>
      <c r="G21" s="92" t="str">
        <f>'Quantities Worksheet'!Q20</f>
        <v>tonnes</v>
      </c>
      <c r="H21" s="93" t="str">
        <f>'Activity Rates Worksheet'!Q20</f>
        <v>Included in disposal fee</v>
      </c>
      <c r="I21" s="94"/>
      <c r="J21" s="93">
        <f>SUM(F21:G21)*SUM(H21:I21)</f>
        <v>0</v>
      </c>
      <c r="K21" s="152"/>
    </row>
    <row r="22" spans="2:11" ht="24">
      <c r="B22" s="85"/>
      <c r="C22" s="95"/>
      <c r="D22" s="95">
        <f>'Quantities Worksheet'!E21</f>
        <v>2.0499999999999998</v>
      </c>
      <c r="E22" s="15" t="str">
        <f>'Quantities Worksheet'!F21</f>
        <v xml:space="preserve">Waste disposal tipping fee
</v>
      </c>
      <c r="F22" s="50">
        <f>'Quantities Worksheet'!P21</f>
        <v>0</v>
      </c>
      <c r="G22" s="92" t="str">
        <f>'Quantities Worksheet'!Q21</f>
        <v>tonnes</v>
      </c>
      <c r="H22" s="93">
        <f>'Activity Rates Worksheet'!Q21</f>
        <v>225.5</v>
      </c>
      <c r="I22" s="94"/>
      <c r="J22" s="93">
        <f>SUM(F22:G22)*SUM(H22:I22)</f>
        <v>0</v>
      </c>
      <c r="K22" s="152"/>
    </row>
    <row r="23" spans="2:11">
      <c r="B23" s="82">
        <f>'Quantities Worksheet'!C22</f>
        <v>3</v>
      </c>
      <c r="C23" s="96" t="str">
        <f>'Quantities Worksheet'!D22</f>
        <v>Management of Hazardous Materials and Contaminated Soil (Demobilization component in Section 5)</v>
      </c>
      <c r="D23" s="96"/>
      <c r="E23" s="16"/>
      <c r="F23" s="83"/>
      <c r="G23" s="97"/>
      <c r="H23" s="98"/>
      <c r="I23" s="99"/>
      <c r="J23" s="98"/>
      <c r="K23" s="153">
        <f>SUM(J23:J35)</f>
        <v>0</v>
      </c>
    </row>
    <row r="24" spans="2:11">
      <c r="B24" s="86"/>
      <c r="C24" s="87" t="str">
        <f>'Quantities Worksheet'!D23</f>
        <v>a</v>
      </c>
      <c r="D24" s="87" t="str">
        <f>'Quantities Worksheet'!E23</f>
        <v>Prepare Hazardous Materials for Removal/ Demobilization (residual waste fuel, waste fuel containers, hazardous building materials, etc.)</v>
      </c>
      <c r="E24" s="23"/>
      <c r="F24" s="88"/>
      <c r="G24" s="89"/>
      <c r="H24" s="90"/>
      <c r="I24" s="91"/>
      <c r="J24" s="90"/>
      <c r="K24" s="151"/>
    </row>
    <row r="25" spans="2:11" ht="60">
      <c r="B25" s="85"/>
      <c r="C25" s="95"/>
      <c r="D25" s="95">
        <f>'Quantities Worksheet'!E24</f>
        <v>3.01</v>
      </c>
      <c r="E25" s="15" t="str">
        <f>'Quantities Worksheet'!F24</f>
        <v xml:space="preserve">Preparation of fuel barrels and fuel containers for removal/ demob:
→ Transfer residual liquids out of containers
→ Decontaminate, as required
</v>
      </c>
      <c r="F25" s="50">
        <f>'Quantities Worksheet'!P24</f>
        <v>0</v>
      </c>
      <c r="G25" s="92" t="str">
        <f>'Quantities Worksheet'!Q24</f>
        <v>L of fuel containers</v>
      </c>
      <c r="H25" s="93">
        <f>'Activity Rates Worksheet'!Q24</f>
        <v>0.11968957871396894</v>
      </c>
      <c r="I25" s="94"/>
      <c r="J25" s="93">
        <f>SUM(F25:G25)*SUM(H25:I25)</f>
        <v>0</v>
      </c>
      <c r="K25" s="152"/>
    </row>
    <row r="26" spans="2:11" ht="36">
      <c r="B26" s="85"/>
      <c r="C26" s="95"/>
      <c r="D26" s="95">
        <f>'Quantities Worksheet'!E25</f>
        <v>3.02</v>
      </c>
      <c r="E26" s="15" t="str">
        <f>'Quantities Worksheet'!F25</f>
        <v xml:space="preserve">Hazmat abatement/ consolidated and contain for demobilization
</v>
      </c>
      <c r="F26" s="50">
        <f>'Quantities Worksheet'!P25</f>
        <v>0</v>
      </c>
      <c r="G26" s="92" t="str">
        <f>'Quantities Worksheet'!Q25</f>
        <v>ea.</v>
      </c>
      <c r="H26" s="93">
        <f>'Activity Rates Worksheet'!Q25</f>
        <v>3238.7999999999997</v>
      </c>
      <c r="I26" s="94"/>
      <c r="J26" s="93">
        <f>SUM(F26:G26)*SUM(H26:I26)</f>
        <v>0</v>
      </c>
      <c r="K26" s="152"/>
    </row>
    <row r="27" spans="2:11">
      <c r="B27" s="86"/>
      <c r="C27" s="87" t="str">
        <f>'Quantities Worksheet'!D26</f>
        <v>b</v>
      </c>
      <c r="D27" s="87" t="str">
        <f>'Quantities Worksheet'!E26</f>
        <v>Soil Remediation (e.g. dig and remove)</v>
      </c>
      <c r="E27" s="23"/>
      <c r="F27" s="88"/>
      <c r="G27" s="89"/>
      <c r="H27" s="90"/>
      <c r="I27" s="91"/>
      <c r="J27" s="90"/>
      <c r="K27" s="151"/>
    </row>
    <row r="28" spans="2:11" ht="36">
      <c r="B28" s="85"/>
      <c r="C28" s="95"/>
      <c r="D28" s="95">
        <f>'Quantities Worksheet'!E27</f>
        <v>3.03</v>
      </c>
      <c r="E28" s="15" t="str">
        <f>'Quantities Worksheet'!F27</f>
        <v xml:space="preserve">Soil remediation (manual labour to dig out contaminated soil by fuel transfer areas)
</v>
      </c>
      <c r="F28" s="50">
        <f>'Quantities Worksheet'!P27</f>
        <v>0</v>
      </c>
      <c r="G28" s="92" t="str">
        <f>'Quantities Worksheet'!Q27</f>
        <v>cu.m</v>
      </c>
      <c r="H28" s="93">
        <f>'Activity Rates Worksheet'!Q27</f>
        <v>1079.5999999999999</v>
      </c>
      <c r="I28" s="94"/>
      <c r="J28" s="93">
        <f>SUM(F28:G28)*SUM(H28:I28)</f>
        <v>0</v>
      </c>
      <c r="K28" s="152"/>
    </row>
    <row r="29" spans="2:11">
      <c r="B29" s="86"/>
      <c r="C29" s="87" t="str">
        <f>'Quantities Worksheet'!D28</f>
        <v>c</v>
      </c>
      <c r="D29" s="87" t="str">
        <f>'Quantities Worksheet'!E28</f>
        <v>Disposal of Hazardous Materials</v>
      </c>
      <c r="E29" s="23"/>
      <c r="F29" s="88"/>
      <c r="G29" s="89"/>
      <c r="H29" s="90"/>
      <c r="I29" s="91"/>
      <c r="J29" s="90"/>
      <c r="K29" s="151"/>
    </row>
    <row r="30" spans="2:11" ht="24">
      <c r="B30" s="85"/>
      <c r="C30" s="95"/>
      <c r="D30" s="95">
        <f>'Quantities Worksheet'!E29</f>
        <v>3.04</v>
      </c>
      <c r="E30" s="15" t="str">
        <f>'Quantities Worksheet'!F29</f>
        <v>Transport of solid hazardous wastes to southern disposal facility from support city</v>
      </c>
      <c r="F30" s="50">
        <f>'Quantities Worksheet'!P29</f>
        <v>0</v>
      </c>
      <c r="G30" s="92" t="str">
        <f>'Quantities Worksheet'!Q29</f>
        <v>tonne</v>
      </c>
      <c r="H30" s="93" t="str">
        <f>'Activity Rates Worksheet'!Q29</f>
        <v>Included in disposal fee</v>
      </c>
      <c r="I30" s="94"/>
      <c r="J30" s="93">
        <f>SUM(F30:G30)*SUM(H30:I30)</f>
        <v>0</v>
      </c>
      <c r="K30" s="152"/>
    </row>
    <row r="31" spans="2:11" ht="36">
      <c r="B31" s="85"/>
      <c r="C31" s="95"/>
      <c r="D31" s="95">
        <f>'Quantities Worksheet'!E30</f>
        <v>3.05</v>
      </c>
      <c r="E31" s="15" t="str">
        <f>'Quantities Worksheet'!F30</f>
        <v xml:space="preserve">Transport of liquid hazardous wastes to southern disposal facility from support city
</v>
      </c>
      <c r="F31" s="50">
        <f>'Quantities Worksheet'!P30</f>
        <v>0</v>
      </c>
      <c r="G31" s="92" t="str">
        <f>'Quantities Worksheet'!Q30</f>
        <v>tonne</v>
      </c>
      <c r="H31" s="93" t="str">
        <f>'Activity Rates Worksheet'!Q30</f>
        <v>Included in disposal fee</v>
      </c>
      <c r="I31" s="94"/>
      <c r="J31" s="93">
        <f>SUM(F31:G31)*SUM(H31:I31)</f>
        <v>0</v>
      </c>
      <c r="K31" s="152"/>
    </row>
    <row r="32" spans="2:11" ht="36">
      <c r="B32" s="85"/>
      <c r="C32" s="95"/>
      <c r="D32" s="95">
        <f>'Quantities Worksheet'!E31</f>
        <v>3.06</v>
      </c>
      <c r="E32" s="18" t="str">
        <f>'Quantities Worksheet'!F31</f>
        <v xml:space="preserve">Hazmat disposal tipping fees:
→ Empty barrels and fuel containers
</v>
      </c>
      <c r="F32" s="50">
        <f>'Quantities Worksheet'!P31</f>
        <v>0</v>
      </c>
      <c r="G32" s="92" t="str">
        <f>'Quantities Worksheet'!Q31</f>
        <v>tonne</v>
      </c>
      <c r="H32" s="93">
        <f>'Activity Rates Worksheet'!Q31</f>
        <v>225.5</v>
      </c>
      <c r="I32" s="94"/>
      <c r="J32" s="93">
        <f>SUM(F32:G32)*SUM(H32:I32)</f>
        <v>0</v>
      </c>
      <c r="K32" s="152"/>
    </row>
    <row r="33" spans="2:11" ht="36">
      <c r="B33" s="85"/>
      <c r="C33" s="95"/>
      <c r="D33" s="95">
        <f>'Quantities Worksheet'!E32</f>
        <v>3.07</v>
      </c>
      <c r="E33" s="18" t="str">
        <f>'Quantities Worksheet'!F32</f>
        <v xml:space="preserve">Hazmat disposal tipping fees:
→ Contaminated soil
</v>
      </c>
      <c r="F33" s="50">
        <f>'Quantities Worksheet'!P32</f>
        <v>0</v>
      </c>
      <c r="G33" s="92" t="str">
        <f>'Quantities Worksheet'!Q32</f>
        <v>tonne</v>
      </c>
      <c r="H33" s="93">
        <f>'Activity Rates Worksheet'!Q32</f>
        <v>192.5</v>
      </c>
      <c r="I33" s="94"/>
      <c r="J33" s="93">
        <f>SUM(F33:G33)*SUM(H33:I33)</f>
        <v>0</v>
      </c>
      <c r="K33" s="152"/>
    </row>
    <row r="34" spans="2:11" ht="36">
      <c r="B34" s="85"/>
      <c r="C34" s="95"/>
      <c r="D34" s="95">
        <f>'Quantities Worksheet'!E33</f>
        <v>3.08</v>
      </c>
      <c r="E34" s="18" t="str">
        <f>'Quantities Worksheet'!F33</f>
        <v xml:space="preserve">Hazmat disposal tipping fees:
→ Waste fuel and waste petrol products
</v>
      </c>
      <c r="F34" s="50">
        <f>'Quantities Worksheet'!P33</f>
        <v>0</v>
      </c>
      <c r="G34" s="92" t="str">
        <f>'Quantities Worksheet'!Q33</f>
        <v>L</v>
      </c>
      <c r="H34" s="93">
        <f>'Activity Rates Worksheet'!Q33</f>
        <v>1.5</v>
      </c>
      <c r="I34" s="94"/>
      <c r="J34" s="93">
        <f>SUM(F34:G34)*SUM(H34:I34)</f>
        <v>0</v>
      </c>
      <c r="K34" s="152"/>
    </row>
    <row r="35" spans="2:11">
      <c r="B35" s="82">
        <v>4</v>
      </c>
      <c r="C35" s="96" t="str">
        <f>'Quantities Worksheet'!D34</f>
        <v>Interim Care and Maintenance (ICM)</v>
      </c>
      <c r="D35" s="96"/>
      <c r="E35" s="16"/>
      <c r="F35" s="83"/>
      <c r="G35" s="97"/>
      <c r="H35" s="98"/>
      <c r="I35" s="99"/>
      <c r="J35" s="98"/>
      <c r="K35" s="153">
        <f>SUM(J35:J41)</f>
        <v>0</v>
      </c>
    </row>
    <row r="36" spans="2:11">
      <c r="B36" s="86"/>
      <c r="C36" s="87" t="str">
        <f>'Quantities Worksheet'!D35</f>
        <v>a</v>
      </c>
      <c r="D36" s="87" t="str">
        <f>'Quantities Worksheet'!E35</f>
        <v>Site Inspection</v>
      </c>
      <c r="E36" s="23"/>
      <c r="F36" s="88"/>
      <c r="G36" s="89"/>
      <c r="H36" s="90"/>
      <c r="I36" s="91"/>
      <c r="J36" s="90"/>
      <c r="K36" s="151"/>
    </row>
    <row r="37" spans="2:11" ht="36">
      <c r="B37" s="85"/>
      <c r="C37" s="95"/>
      <c r="D37" s="95">
        <f>'Quantities Worksheet'!E36</f>
        <v>4.01</v>
      </c>
      <c r="E37" s="15" t="str">
        <f>'Quantities Worksheet'!F36</f>
        <v xml:space="preserve">Site inspection/ monitoring by a Contractor (fly in by air)
</v>
      </c>
      <c r="F37" s="50" t="str">
        <f>'Quantities Worksheet'!P36</f>
        <v>No Work</v>
      </c>
      <c r="G37" s="92" t="str">
        <f>'Quantities Worksheet'!Q36</f>
        <v>cost</v>
      </c>
      <c r="H37" s="93">
        <f>'Activity Rates Worksheet'!Q36</f>
        <v>2044.56</v>
      </c>
      <c r="I37" s="94"/>
      <c r="J37" s="93">
        <f>SUM(F37:G37)*SUM(H37:I37)</f>
        <v>0</v>
      </c>
      <c r="K37" s="152"/>
    </row>
    <row r="38" spans="2:11">
      <c r="B38" s="86"/>
      <c r="C38" s="87" t="str">
        <f>'Quantities Worksheet'!D37</f>
        <v>b</v>
      </c>
      <c r="D38" s="87" t="str">
        <f>'Quantities Worksheet'!E37</f>
        <v>ICM Monitoring</v>
      </c>
      <c r="E38" s="23"/>
      <c r="F38" s="88"/>
      <c r="G38" s="89"/>
      <c r="H38" s="90"/>
      <c r="I38" s="91"/>
      <c r="J38" s="90"/>
      <c r="K38" s="151"/>
    </row>
    <row r="39" spans="2:11" ht="24">
      <c r="B39" s="85"/>
      <c r="C39" s="95"/>
      <c r="D39" s="95">
        <f>'Quantities Worksheet'!E38</f>
        <v>4.0199999999999996</v>
      </c>
      <c r="E39" s="15" t="str">
        <f>'Quantities Worksheet'!F38</f>
        <v xml:space="preserve">ICM geotechnical monitoring
</v>
      </c>
      <c r="F39" s="50" t="str">
        <f>'Quantities Worksheet'!P38</f>
        <v>No Work</v>
      </c>
      <c r="G39" s="92" t="str">
        <f>'Quantities Worksheet'!Q38</f>
        <v>cost</v>
      </c>
      <c r="H39" s="93">
        <f>'Activity Rates Worksheet'!Q38</f>
        <v>25000</v>
      </c>
      <c r="I39" s="94"/>
      <c r="J39" s="93">
        <f>SUM(F39:G39)*SUM(H39:I39)</f>
        <v>0</v>
      </c>
      <c r="K39" s="152"/>
    </row>
    <row r="40" spans="2:11" ht="24">
      <c r="B40" s="85"/>
      <c r="C40" s="95"/>
      <c r="D40" s="95">
        <f>'Quantities Worksheet'!E39</f>
        <v>4.03</v>
      </c>
      <c r="E40" s="15" t="str">
        <f>'Quantities Worksheet'!F39</f>
        <v xml:space="preserve">ICM surface water quality/ ARD monitoring
</v>
      </c>
      <c r="F40" s="50" t="str">
        <f>'Quantities Worksheet'!P39</f>
        <v>No Work</v>
      </c>
      <c r="G40" s="92" t="str">
        <f>'Quantities Worksheet'!Q39</f>
        <v>cost</v>
      </c>
      <c r="H40" s="93">
        <f>'Activity Rates Worksheet'!Q39</f>
        <v>40000</v>
      </c>
      <c r="I40" s="94"/>
      <c r="J40" s="93">
        <f>SUM(F40:G40)*SUM(H40:I40)</f>
        <v>0</v>
      </c>
      <c r="K40" s="152"/>
    </row>
    <row r="41" spans="2:11">
      <c r="B41" s="100" t="s">
        <v>44</v>
      </c>
      <c r="C41" s="101"/>
      <c r="D41" s="101"/>
      <c r="E41" s="24"/>
      <c r="F41" s="102"/>
      <c r="G41" s="103"/>
      <c r="H41" s="104"/>
      <c r="I41" s="105"/>
      <c r="J41" s="104"/>
      <c r="K41" s="154">
        <f>SUM(J41:J88)</f>
        <v>0</v>
      </c>
    </row>
    <row r="42" spans="2:11">
      <c r="B42" s="82">
        <v>5</v>
      </c>
      <c r="C42" s="96" t="str">
        <f>'Quantities Worksheet'!D40</f>
        <v>Mobilization, Camp, and Demobilization Costs</v>
      </c>
      <c r="D42" s="96"/>
      <c r="E42" s="16"/>
      <c r="F42" s="83"/>
      <c r="G42" s="97"/>
      <c r="H42" s="98"/>
      <c r="I42" s="99"/>
      <c r="J42" s="98"/>
      <c r="K42" s="153">
        <f>SUM(J42:J67)</f>
        <v>0</v>
      </c>
    </row>
    <row r="43" spans="2:11">
      <c r="B43" s="86"/>
      <c r="C43" s="87" t="str">
        <f>'Quantities Worksheet'!D41</f>
        <v>a</v>
      </c>
      <c r="D43" s="87" t="str">
        <f>'Quantities Worksheet'!E41</f>
        <v>Mobilization of Heavy Equipment for the Reclamation Work, if required</v>
      </c>
      <c r="E43" s="23"/>
      <c r="F43" s="88"/>
      <c r="G43" s="89"/>
      <c r="H43" s="90"/>
      <c r="I43" s="91"/>
      <c r="J43" s="90"/>
      <c r="K43" s="151">
        <f>SUM(J43:J49)</f>
        <v>0</v>
      </c>
    </row>
    <row r="44" spans="2:11" ht="24">
      <c r="B44" s="85"/>
      <c r="C44" s="95"/>
      <c r="D44" s="95">
        <f>'Quantities Worksheet'!E42</f>
        <v>5.01</v>
      </c>
      <c r="E44" s="15" t="str">
        <f>'Quantities Worksheet'!F42</f>
        <v>Will heavy equipment be required for the reclamation work?</v>
      </c>
      <c r="F44" s="50" t="str">
        <f>'Quantities Worksheet'!P42</f>
        <v>No</v>
      </c>
      <c r="G44" s="92" t="str">
        <f>'Quantities Worksheet'!Q42</f>
        <v>Y/ N</v>
      </c>
      <c r="H44" s="93" t="str">
        <f>'Activity Rates Worksheet'!Q42</f>
        <v>n/a</v>
      </c>
      <c r="I44" s="94"/>
      <c r="J44" s="93">
        <f t="shared" ref="J44:J48" si="0">SUM(F44:G44)*SUM(H44:I44)</f>
        <v>0</v>
      </c>
      <c r="K44" s="152"/>
    </row>
    <row r="45" spans="2:11" ht="24">
      <c r="B45" s="85"/>
      <c r="C45" s="95"/>
      <c r="D45" s="95">
        <f>'Quantities Worksheet'!E43</f>
        <v>5.0199999999999996</v>
      </c>
      <c r="E45" s="15" t="str">
        <f>'Quantities Worksheet'!F43</f>
        <v xml:space="preserve">Construction of winter road for mobilization
</v>
      </c>
      <c r="F45" s="50" t="str">
        <f>'Quantities Worksheet'!P43</f>
        <v>No Work</v>
      </c>
      <c r="G45" s="92" t="str">
        <f>'Quantities Worksheet'!Q43</f>
        <v>km</v>
      </c>
      <c r="H45" s="93" t="str">
        <f>'Activity Rates Worksheet'!Q43</f>
        <v>n/a</v>
      </c>
      <c r="I45" s="94"/>
      <c r="J45" s="93">
        <f t="shared" si="0"/>
        <v>0</v>
      </c>
      <c r="K45" s="152"/>
    </row>
    <row r="46" spans="2:11" ht="36">
      <c r="B46" s="85"/>
      <c r="C46" s="95"/>
      <c r="D46" s="95">
        <f>'Quantities Worksheet'!E44</f>
        <v>5.0299999999999994</v>
      </c>
      <c r="E46" s="15" t="str">
        <f>'Quantities Worksheet'!F44</f>
        <v xml:space="preserve">Mobilization of heavy equipment and materials for reclamation work
</v>
      </c>
      <c r="F46" s="50" t="str">
        <f>'Quantities Worksheet'!P44</f>
        <v>No Work</v>
      </c>
      <c r="G46" s="92" t="str">
        <f>'Quantities Worksheet'!Q44</f>
        <v>tonnes</v>
      </c>
      <c r="H46" s="93">
        <f>'Activity Rates Worksheet'!Q44</f>
        <v>0</v>
      </c>
      <c r="I46" s="94"/>
      <c r="J46" s="93">
        <f t="shared" si="0"/>
        <v>0</v>
      </c>
      <c r="K46" s="152"/>
    </row>
    <row r="47" spans="2:11" ht="24">
      <c r="B47" s="85"/>
      <c r="C47" s="95"/>
      <c r="D47" s="95">
        <f>'Quantities Worksheet'!E45</f>
        <v>5.0399999999999991</v>
      </c>
      <c r="E47" s="15" t="str">
        <f>'Quantities Worksheet'!F45</f>
        <v xml:space="preserve">Mobilization of fuel for reclamation work
</v>
      </c>
      <c r="F47" s="50" t="str">
        <f>'Quantities Worksheet'!P45</f>
        <v>No Work</v>
      </c>
      <c r="G47" s="92" t="str">
        <f>'Quantities Worksheet'!Q45</f>
        <v>tonnes</v>
      </c>
      <c r="H47" s="93">
        <f>'Activity Rates Worksheet'!Q45</f>
        <v>0</v>
      </c>
      <c r="I47" s="94"/>
      <c r="J47" s="93">
        <f t="shared" si="0"/>
        <v>0</v>
      </c>
      <c r="K47" s="152"/>
    </row>
    <row r="48" spans="2:11" ht="24">
      <c r="B48" s="85"/>
      <c r="C48" s="95"/>
      <c r="D48" s="95">
        <f>'Quantities Worksheet'!E46</f>
        <v>5.0499999999999989</v>
      </c>
      <c r="E48" s="15" t="str">
        <f>'Quantities Worksheet'!F46</f>
        <v xml:space="preserve">Contingency
</v>
      </c>
      <c r="F48" s="50" t="str">
        <f>'Quantities Worksheet'!P46</f>
        <v>No Work</v>
      </c>
      <c r="G48" s="92"/>
      <c r="H48" s="93" t="str">
        <f>'Activity Rates Worksheet'!Q46</f>
        <v>n/a</v>
      </c>
      <c r="I48" s="94">
        <f>SUM(J44:J47)</f>
        <v>0</v>
      </c>
      <c r="J48" s="93">
        <f t="shared" si="0"/>
        <v>0</v>
      </c>
      <c r="K48" s="152"/>
    </row>
    <row r="49" spans="2:15">
      <c r="B49" s="86"/>
      <c r="C49" s="87" t="str">
        <f>'Quantities Worksheet'!D47</f>
        <v>b</v>
      </c>
      <c r="D49" s="87" t="str">
        <f>'Quantities Worksheet'!E47</f>
        <v>Mobilization and Demobilization of Workers and Supplies for the Reclamation Work</v>
      </c>
      <c r="E49" s="23"/>
      <c r="F49" s="88"/>
      <c r="G49" s="89"/>
      <c r="H49" s="90"/>
      <c r="I49" s="91"/>
      <c r="J49" s="90"/>
      <c r="K49" s="151">
        <f>SUM(J49:J57)</f>
        <v>0</v>
      </c>
    </row>
    <row r="50" spans="2:15" ht="24">
      <c r="B50" s="85"/>
      <c r="C50" s="95"/>
      <c r="D50" s="95">
        <f>'Quantities Worksheet'!E48</f>
        <v>5.0599999999999996</v>
      </c>
      <c r="E50" s="15" t="str">
        <f>'Quantities Worksheet'!F48</f>
        <v xml:space="preserve">Mobilization of workers
</v>
      </c>
      <c r="F50" s="50">
        <f>'Quantities Worksheet'!P48</f>
        <v>750</v>
      </c>
      <c r="G50" s="92" t="str">
        <f>'Quantities Worksheet'!Q48</f>
        <v>kg</v>
      </c>
      <c r="H50" s="93">
        <f>'Activity Rates Worksheet'!Q48</f>
        <v>0</v>
      </c>
      <c r="I50" s="94"/>
      <c r="J50" s="93">
        <f t="shared" ref="J50:J56" si="1">SUM(F50:G50)*SUM(H50:I50)</f>
        <v>0</v>
      </c>
      <c r="K50" s="152"/>
    </row>
    <row r="51" spans="2:15" ht="24">
      <c r="B51" s="85"/>
      <c r="C51" s="95"/>
      <c r="D51" s="95">
        <f>'Quantities Worksheet'!E49</f>
        <v>5.07</v>
      </c>
      <c r="E51" s="15" t="str">
        <f>'Quantities Worksheet'!F49</f>
        <v xml:space="preserve">Mobilization of operators, if required
</v>
      </c>
      <c r="F51" s="50">
        <f>'Quantities Worksheet'!P49</f>
        <v>0</v>
      </c>
      <c r="G51" s="92" t="str">
        <f>'Quantities Worksheet'!Q49</f>
        <v>kg</v>
      </c>
      <c r="H51" s="93">
        <f>'Activity Rates Worksheet'!Q49</f>
        <v>0</v>
      </c>
      <c r="I51" s="94"/>
      <c r="J51" s="93">
        <f t="shared" si="1"/>
        <v>0</v>
      </c>
      <c r="K51" s="152"/>
    </row>
    <row r="52" spans="2:15" ht="24">
      <c r="B52" s="85"/>
      <c r="C52" s="95"/>
      <c r="D52" s="95">
        <f>'Quantities Worksheet'!E50</f>
        <v>5.08</v>
      </c>
      <c r="E52" s="15" t="str">
        <f>'Quantities Worksheet'!F50</f>
        <v xml:space="preserve">Mobilization of camp and supplies
</v>
      </c>
      <c r="F52" s="50" t="str">
        <f>'Quantities Worksheet'!P50</f>
        <v>No Work</v>
      </c>
      <c r="G52" s="92" t="str">
        <f>'Quantities Worksheet'!Q50</f>
        <v>kg</v>
      </c>
      <c r="H52" s="93">
        <f>'Activity Rates Worksheet'!Q50</f>
        <v>0</v>
      </c>
      <c r="I52" s="94"/>
      <c r="J52" s="93">
        <f t="shared" si="1"/>
        <v>0</v>
      </c>
      <c r="K52" s="152"/>
      <c r="O52" s="30"/>
    </row>
    <row r="53" spans="2:15" ht="36">
      <c r="B53" s="85"/>
      <c r="C53" s="95"/>
      <c r="D53" s="95" t="str">
        <f>'Quantities Worksheet'!E51</f>
        <v>5.08a</v>
      </c>
      <c r="E53" s="15" t="str">
        <f>'Quantities Worksheet'!F51</f>
        <v xml:space="preserve">Additional daily mobilization of workers if there is no site camp
</v>
      </c>
      <c r="F53" s="50">
        <f>'Quantities Worksheet'!P51</f>
        <v>0</v>
      </c>
      <c r="G53" s="92" t="str">
        <f>'Quantities Worksheet'!Q51</f>
        <v>days</v>
      </c>
      <c r="H53" s="93">
        <f>'Activity Rates Worksheet'!Q51</f>
        <v>0</v>
      </c>
      <c r="I53" s="94"/>
      <c r="J53" s="93">
        <f t="shared" ref="J53" si="2">SUM(F53:G53)*SUM(H53:I53)</f>
        <v>0</v>
      </c>
      <c r="K53" s="152"/>
      <c r="O53" s="30"/>
    </row>
    <row r="54" spans="2:15" ht="24">
      <c r="B54" s="85"/>
      <c r="C54" s="95"/>
      <c r="D54" s="95">
        <f>'Quantities Worksheet'!E52</f>
        <v>5.09</v>
      </c>
      <c r="E54" s="15" t="str">
        <f>'Quantities Worksheet'!F52</f>
        <v xml:space="preserve">Demobilization of workers (and operators)
</v>
      </c>
      <c r="F54" s="50">
        <f>'Quantities Worksheet'!P52</f>
        <v>750</v>
      </c>
      <c r="G54" s="92" t="str">
        <f>'Quantities Worksheet'!Q52</f>
        <v>kg</v>
      </c>
      <c r="H54" s="93">
        <f>'Activity Rates Worksheet'!Q52</f>
        <v>0</v>
      </c>
      <c r="I54" s="94"/>
      <c r="J54" s="93">
        <f t="shared" si="1"/>
        <v>0</v>
      </c>
      <c r="K54" s="152"/>
    </row>
    <row r="55" spans="2:15" ht="24">
      <c r="B55" s="85"/>
      <c r="C55" s="95"/>
      <c r="D55" s="95">
        <f>'Quantities Worksheet'!E53</f>
        <v>5.0999999999999996</v>
      </c>
      <c r="E55" s="15" t="str">
        <f>'Quantities Worksheet'!F53</f>
        <v xml:space="preserve">Demobilization of camp
</v>
      </c>
      <c r="F55" s="50">
        <f>'Quantities Worksheet'!P53</f>
        <v>0</v>
      </c>
      <c r="G55" s="92" t="str">
        <f>'Quantities Worksheet'!Q53</f>
        <v>kg</v>
      </c>
      <c r="H55" s="93">
        <f>'Activity Rates Worksheet'!Q53</f>
        <v>0</v>
      </c>
      <c r="I55" s="94"/>
      <c r="J55" s="93">
        <f t="shared" si="1"/>
        <v>0</v>
      </c>
      <c r="K55" s="152"/>
    </row>
    <row r="56" spans="2:15" ht="24">
      <c r="B56" s="85"/>
      <c r="C56" s="95"/>
      <c r="D56" s="95">
        <f>'Quantities Worksheet'!E54</f>
        <v>5.1100000000000003</v>
      </c>
      <c r="E56" s="15" t="str">
        <f>'Quantities Worksheet'!F54</f>
        <v xml:space="preserve">Contingency
</v>
      </c>
      <c r="F56" s="75">
        <f>'Quantities Worksheet'!P54</f>
        <v>0.1</v>
      </c>
      <c r="G56" s="92"/>
      <c r="H56" s="93" t="str">
        <f>'Activity Rates Worksheet'!Q54</f>
        <v>n/a</v>
      </c>
      <c r="I56" s="94">
        <f>SUM(J50:J55)</f>
        <v>0</v>
      </c>
      <c r="J56" s="93">
        <f t="shared" si="1"/>
        <v>0</v>
      </c>
      <c r="K56" s="152"/>
    </row>
    <row r="57" spans="2:15">
      <c r="B57" s="86"/>
      <c r="C57" s="87" t="str">
        <f>'Quantities Worksheet'!D55</f>
        <v>c</v>
      </c>
      <c r="D57" s="87" t="str">
        <f>'Quantities Worksheet'!E55</f>
        <v>Camp for the Reclamation Work</v>
      </c>
      <c r="E57" s="23"/>
      <c r="F57" s="88"/>
      <c r="G57" s="89"/>
      <c r="H57" s="90"/>
      <c r="I57" s="91"/>
      <c r="J57" s="90"/>
      <c r="K57" s="151">
        <f>SUM(J57:J60)</f>
        <v>0</v>
      </c>
    </row>
    <row r="58" spans="2:15" ht="48">
      <c r="B58" s="85"/>
      <c r="C58" s="95"/>
      <c r="D58" s="95">
        <f>'Quantities Worksheet'!E56</f>
        <v>5.12</v>
      </c>
      <c r="E58" s="15" t="str">
        <f>'Quantities Worksheet'!F56</f>
        <v xml:space="preserve">Supply of reclamation camp
* or if less than 7 calculated working days - daily mobilization and demobilization of workers
</v>
      </c>
      <c r="F58" s="50" t="str">
        <f>'Quantities Worksheet'!P56</f>
        <v>No Work</v>
      </c>
      <c r="G58" s="92" t="str">
        <f>'Quantities Worksheet'!Q56</f>
        <v>ea.</v>
      </c>
      <c r="H58" s="93" t="str">
        <f>'Activity Rates Worksheet'!Q56</f>
        <v>n/a</v>
      </c>
      <c r="I58" s="94"/>
      <c r="J58" s="93">
        <f>SUM(F58:G58)*SUM(H58:I58)</f>
        <v>0</v>
      </c>
      <c r="K58" s="152"/>
    </row>
    <row r="59" spans="2:15" ht="36">
      <c r="B59" s="85"/>
      <c r="C59" s="95"/>
      <c r="D59" s="95">
        <f>'Quantities Worksheet'!E57</f>
        <v>5.13</v>
      </c>
      <c r="E59" s="15" t="str">
        <f>'Quantities Worksheet'!F57</f>
        <v xml:space="preserve">Operation of reclamation camp/ accommodations and meals
</v>
      </c>
      <c r="F59" s="50">
        <f>'Quantities Worksheet'!P57</f>
        <v>0</v>
      </c>
      <c r="G59" s="92" t="str">
        <f>'Quantities Worksheet'!Q57</f>
        <v>persondays</v>
      </c>
      <c r="H59" s="93" t="str">
        <f>'Activity Rates Worksheet'!Q57</f>
        <v>n/a</v>
      </c>
      <c r="I59" s="94"/>
      <c r="J59" s="93">
        <f>SUM(F59:G59)*SUM(H59:I59)</f>
        <v>0</v>
      </c>
      <c r="K59" s="152"/>
    </row>
    <row r="60" spans="2:15">
      <c r="B60" s="86"/>
      <c r="C60" s="87" t="str">
        <f>'Quantities Worksheet'!D58</f>
        <v>d</v>
      </c>
      <c r="D60" s="87" t="str">
        <f>'Quantities Worksheet'!E58</f>
        <v>Demobilization of Abandoned Equipment and Materials (+ Heavy Equipment mobilized for the Reclamation Work, if required)</v>
      </c>
      <c r="E60" s="23"/>
      <c r="F60" s="88"/>
      <c r="G60" s="89"/>
      <c r="H60" s="90"/>
      <c r="I60" s="91"/>
      <c r="J60" s="90"/>
      <c r="K60" s="151">
        <f>SUM(J60:J67)</f>
        <v>0</v>
      </c>
    </row>
    <row r="61" spans="2:15">
      <c r="B61" s="85"/>
      <c r="C61" s="95"/>
      <c r="D61" s="95">
        <f>'Quantities Worksheet'!E59</f>
        <v>5.14</v>
      </c>
      <c r="E61" s="15" t="str">
        <f>'Quantities Worksheet'!F59</f>
        <v>Is the project land-accessible?</v>
      </c>
      <c r="F61" s="50">
        <f>'Quantities Worksheet'!P59</f>
        <v>0</v>
      </c>
      <c r="G61" s="92" t="str">
        <f>'Quantities Worksheet'!Q59</f>
        <v>Y/ N</v>
      </c>
      <c r="H61" s="93" t="str">
        <f>'Activity Rates Worksheet'!Q59</f>
        <v>n/a</v>
      </c>
      <c r="I61" s="94"/>
      <c r="J61" s="93">
        <f t="shared" ref="J61:J66" si="3">SUM(F61:G61)*SUM(H61:I61)</f>
        <v>0</v>
      </c>
      <c r="K61" s="152"/>
    </row>
    <row r="62" spans="2:15" ht="36">
      <c r="B62" s="85"/>
      <c r="C62" s="95"/>
      <c r="D62" s="95">
        <f>'Quantities Worksheet'!E60</f>
        <v>5.15</v>
      </c>
      <c r="E62" s="15" t="str">
        <f>'Quantities Worksheet'!F60</f>
        <v xml:space="preserve">Construction of winter road for demobilization, if required
</v>
      </c>
      <c r="F62" s="50" t="str">
        <f>'Quantities Worksheet'!P60</f>
        <v>No Work</v>
      </c>
      <c r="G62" s="92" t="str">
        <f>'Quantities Worksheet'!Q60</f>
        <v>km</v>
      </c>
      <c r="H62" s="93" t="str">
        <f>'Activity Rates Worksheet'!Q60</f>
        <v>n/a</v>
      </c>
      <c r="I62" s="94"/>
      <c r="J62" s="93">
        <f t="shared" si="3"/>
        <v>0</v>
      </c>
      <c r="K62" s="152"/>
    </row>
    <row r="63" spans="2:15" ht="36">
      <c r="B63" s="85"/>
      <c r="C63" s="95"/>
      <c r="D63" s="95">
        <f>'Quantities Worksheet'!E61</f>
        <v>5.16</v>
      </c>
      <c r="E63" s="15" t="str">
        <f>'Quantities Worksheet'!F61</f>
        <v xml:space="preserve">Demobilization of abandoned camp&amp; equipment, debris and wastes
</v>
      </c>
      <c r="F63" s="50">
        <f>'Quantities Worksheet'!P61</f>
        <v>0</v>
      </c>
      <c r="G63" s="92" t="str">
        <f>'Quantities Worksheet'!Q61</f>
        <v>tonne</v>
      </c>
      <c r="H63" s="93">
        <f>'Activity Rates Worksheet'!Q61</f>
        <v>0</v>
      </c>
      <c r="I63" s="94"/>
      <c r="J63" s="93">
        <f t="shared" si="3"/>
        <v>0</v>
      </c>
      <c r="K63" s="152"/>
    </row>
    <row r="64" spans="2:15" ht="36">
      <c r="B64" s="85"/>
      <c r="C64" s="95"/>
      <c r="D64" s="95">
        <f>'Quantities Worksheet'!E62</f>
        <v>5.17</v>
      </c>
      <c r="E64" s="15" t="str">
        <f>'Quantities Worksheet'!F62</f>
        <v xml:space="preserve">Demobilization of heavy equipment for reclamation, if mobilized
</v>
      </c>
      <c r="F64" s="50" t="str">
        <f>'Quantities Worksheet'!P62</f>
        <v>No Work</v>
      </c>
      <c r="G64" s="92" t="str">
        <f>'Quantities Worksheet'!Q62</f>
        <v>tonnes</v>
      </c>
      <c r="H64" s="93">
        <f>'Activity Rates Worksheet'!Q62</f>
        <v>0</v>
      </c>
      <c r="I64" s="94"/>
      <c r="J64" s="93">
        <f t="shared" si="3"/>
        <v>0</v>
      </c>
      <c r="K64" s="152"/>
    </row>
    <row r="65" spans="2:11" ht="24">
      <c r="B65" s="85"/>
      <c r="C65" s="95"/>
      <c r="D65" s="95">
        <f>'Quantities Worksheet'!E63</f>
        <v>5.18</v>
      </c>
      <c r="E65" s="15" t="str">
        <f>'Quantities Worksheet'!F63</f>
        <v xml:space="preserve">Demobilization of reclamation fuel containers
</v>
      </c>
      <c r="F65" s="50" t="str">
        <f>'Quantities Worksheet'!P63</f>
        <v>No Work</v>
      </c>
      <c r="G65" s="92" t="str">
        <f>'Quantities Worksheet'!Q63</f>
        <v>tonnes</v>
      </c>
      <c r="H65" s="93">
        <f>'Activity Rates Worksheet'!Q63</f>
        <v>0</v>
      </c>
      <c r="I65" s="94"/>
      <c r="J65" s="93">
        <f t="shared" si="3"/>
        <v>0</v>
      </c>
      <c r="K65" s="152"/>
    </row>
    <row r="66" spans="2:11" ht="24">
      <c r="B66" s="85"/>
      <c r="C66" s="95"/>
      <c r="D66" s="95">
        <f>'Quantities Worksheet'!E64</f>
        <v>5.19</v>
      </c>
      <c r="E66" s="15" t="str">
        <f>'Quantities Worksheet'!F64</f>
        <v xml:space="preserve">Contingency
</v>
      </c>
      <c r="F66" s="75">
        <f>'Quantities Worksheet'!P64</f>
        <v>0.1</v>
      </c>
      <c r="G66" s="92"/>
      <c r="H66" s="93" t="str">
        <f>'Activity Rates Worksheet'!Q64</f>
        <v>n/a</v>
      </c>
      <c r="I66" s="94">
        <f>SUM(J61:J65)</f>
        <v>0</v>
      </c>
      <c r="J66" s="93">
        <f t="shared" si="3"/>
        <v>0</v>
      </c>
      <c r="K66" s="152"/>
    </row>
    <row r="67" spans="2:11">
      <c r="B67" s="82">
        <v>6</v>
      </c>
      <c r="C67" s="96" t="str">
        <f>'Quantities Worksheet'!D65</f>
        <v>Development of Detailed Closure and Reclamation Plan (CRP)</v>
      </c>
      <c r="D67" s="96"/>
      <c r="E67" s="16"/>
      <c r="F67" s="83"/>
      <c r="G67" s="97"/>
      <c r="H67" s="98"/>
      <c r="I67" s="99"/>
      <c r="J67" s="98"/>
      <c r="K67" s="153">
        <f>SUM(J67:J74)</f>
        <v>0</v>
      </c>
    </row>
    <row r="68" spans="2:11">
      <c r="B68" s="86"/>
      <c r="C68" s="87" t="str">
        <f>'Quantities Worksheet'!D66</f>
        <v>a</v>
      </c>
      <c r="D68" s="87" t="str">
        <f>'Quantities Worksheet'!E66</f>
        <v>Engagement Costs</v>
      </c>
      <c r="E68" s="23"/>
      <c r="F68" s="88"/>
      <c r="G68" s="89"/>
      <c r="H68" s="90"/>
      <c r="I68" s="91"/>
      <c r="J68" s="90"/>
      <c r="K68" s="151"/>
    </row>
    <row r="69" spans="2:11" ht="24">
      <c r="B69" s="85"/>
      <c r="C69" s="95"/>
      <c r="D69" s="95">
        <f>'Quantities Worksheet'!E67</f>
        <v>6.01</v>
      </c>
      <c r="E69" s="15" t="str">
        <f>'Quantities Worksheet'!F67</f>
        <v xml:space="preserve">Engagement Costs
</v>
      </c>
      <c r="F69" s="50" t="str">
        <f>'Quantities Worksheet'!P67</f>
        <v>No Work</v>
      </c>
      <c r="G69" s="92" t="str">
        <f>'Quantities Worksheet'!Q67</f>
        <v>cost</v>
      </c>
      <c r="H69" s="93">
        <f>'Activity Rates Worksheet'!Q67</f>
        <v>15000</v>
      </c>
      <c r="I69" s="94"/>
      <c r="J69" s="93">
        <f>SUM(F69:G69)*SUM(H69:I69)</f>
        <v>0</v>
      </c>
      <c r="K69" s="152"/>
    </row>
    <row r="70" spans="2:11">
      <c r="B70" s="86"/>
      <c r="C70" s="87" t="str">
        <f>'Quantities Worksheet'!D68</f>
        <v>b</v>
      </c>
      <c r="D70" s="87" t="str">
        <f>'Quantities Worksheet'!E68</f>
        <v>Regulatory Compliance Costs</v>
      </c>
      <c r="E70" s="23"/>
      <c r="F70" s="88"/>
      <c r="G70" s="89"/>
      <c r="H70" s="90"/>
      <c r="I70" s="91"/>
      <c r="J70" s="90"/>
      <c r="K70" s="151"/>
    </row>
    <row r="71" spans="2:11" ht="24">
      <c r="B71" s="85"/>
      <c r="C71" s="95"/>
      <c r="D71" s="95">
        <f>'Quantities Worksheet'!E69</f>
        <v>6.02</v>
      </c>
      <c r="E71" s="15" t="str">
        <f>'Quantities Worksheet'!F69</f>
        <v xml:space="preserve">Regulatory Compliance Costs
</v>
      </c>
      <c r="F71" s="50" t="str">
        <f>'Quantities Worksheet'!P69</f>
        <v>No Work</v>
      </c>
      <c r="G71" s="92" t="str">
        <f>'Quantities Worksheet'!Q69</f>
        <v>cost</v>
      </c>
      <c r="H71" s="93">
        <f>'Activity Rates Worksheet'!Q69</f>
        <v>15000</v>
      </c>
      <c r="I71" s="94"/>
      <c r="J71" s="93">
        <f>SUM(F71:G71)*SUM(H71:I71)</f>
        <v>0</v>
      </c>
      <c r="K71" s="152"/>
    </row>
    <row r="72" spans="2:11">
      <c r="B72" s="86"/>
      <c r="C72" s="87" t="str">
        <f>'Quantities Worksheet'!D70</f>
        <v>c</v>
      </c>
      <c r="D72" s="87" t="str">
        <f>'Quantities Worksheet'!E70</f>
        <v>Detailed Closure and Reclamation Plan</v>
      </c>
      <c r="E72" s="23"/>
      <c r="F72" s="88"/>
      <c r="G72" s="89"/>
      <c r="H72" s="90"/>
      <c r="I72" s="91"/>
      <c r="J72" s="90"/>
      <c r="K72" s="151"/>
    </row>
    <row r="73" spans="2:11" ht="36">
      <c r="B73" s="85"/>
      <c r="C73" s="95"/>
      <c r="D73" s="95">
        <f>'Quantities Worksheet'!E71</f>
        <v>6.03</v>
      </c>
      <c r="E73" s="15" t="str">
        <f>'Quantities Worksheet'!F71</f>
        <v xml:space="preserve">Detailed Closure and Reclamation Plan (Engineering, Research)
</v>
      </c>
      <c r="F73" s="50" t="str">
        <f>'Quantities Worksheet'!P71</f>
        <v>No Work</v>
      </c>
      <c r="G73" s="92" t="str">
        <f>'Quantities Worksheet'!Q71</f>
        <v>cost</v>
      </c>
      <c r="H73" s="93">
        <f>'Activity Rates Worksheet'!Q71</f>
        <v>30000</v>
      </c>
      <c r="I73" s="94"/>
      <c r="J73" s="93">
        <f>SUM(F73:G73)*SUM(H73:I73)</f>
        <v>0</v>
      </c>
      <c r="K73" s="152"/>
    </row>
    <row r="74" spans="2:11">
      <c r="B74" s="82">
        <v>7</v>
      </c>
      <c r="C74" s="96" t="str">
        <f>'Quantities Worksheet'!D72</f>
        <v>Post-Closure Monitoring and Inspection</v>
      </c>
      <c r="D74" s="96"/>
      <c r="E74" s="16"/>
      <c r="F74" s="83"/>
      <c r="G74" s="97"/>
      <c r="H74" s="98"/>
      <c r="I74" s="99"/>
      <c r="J74" s="98"/>
      <c r="K74" s="153">
        <f>SUM(J74:J76)</f>
        <v>0</v>
      </c>
    </row>
    <row r="75" spans="2:11" ht="24">
      <c r="B75" s="85"/>
      <c r="C75" s="95"/>
      <c r="D75" s="95">
        <f>'Quantities Worksheet'!E73</f>
        <v>7.01</v>
      </c>
      <c r="E75" s="15" t="str">
        <f>'Quantities Worksheet'!F73</f>
        <v xml:space="preserve">Post Closure Monitoring and inspection
</v>
      </c>
      <c r="F75" s="50" t="str">
        <f>'Quantities Worksheet'!P73</f>
        <v>No Work</v>
      </c>
      <c r="G75" s="92" t="str">
        <f>'Quantities Worksheet'!Q73</f>
        <v>cost</v>
      </c>
      <c r="H75" s="93" t="str">
        <f>'Activity Rates Worksheet'!Q73</f>
        <v>Develop Work Specific Cost</v>
      </c>
      <c r="I75" s="94"/>
      <c r="J75" s="93">
        <f>SUM(F75:G75)*SUM(H75:I75)</f>
        <v>0</v>
      </c>
      <c r="K75" s="152"/>
    </row>
    <row r="76" spans="2:11">
      <c r="B76" s="82">
        <v>8</v>
      </c>
      <c r="C76" s="96" t="str">
        <f>'Quantities Worksheet'!D74</f>
        <v>Project Management</v>
      </c>
      <c r="D76" s="96"/>
      <c r="E76" s="16"/>
      <c r="F76" s="83"/>
      <c r="G76" s="97"/>
      <c r="H76" s="98"/>
      <c r="I76" s="99"/>
      <c r="J76" s="98"/>
      <c r="K76" s="153">
        <f>SUM(J76:J78)</f>
        <v>0</v>
      </c>
    </row>
    <row r="77" spans="2:11" ht="36">
      <c r="B77" s="48"/>
      <c r="C77" s="49"/>
      <c r="D77" s="49">
        <f>'Quantities Worksheet'!E75</f>
        <v>8.01</v>
      </c>
      <c r="E77" s="15" t="str">
        <f>'Quantities Worksheet'!F75</f>
        <v xml:space="preserve">Project management for the closure and reclamation work
</v>
      </c>
      <c r="F77" s="75">
        <f>'Quantities Worksheet'!P75</f>
        <v>0.05</v>
      </c>
      <c r="G77" s="92" t="str">
        <f>'Quantities Worksheet'!Q75</f>
        <v xml:space="preserve"> </v>
      </c>
      <c r="H77" s="93" t="str">
        <f>'Activity Rates Worksheet'!Q75</f>
        <v>n/a</v>
      </c>
      <c r="I77" s="94">
        <f>$K$6</f>
        <v>0</v>
      </c>
      <c r="J77" s="93">
        <f>SUM(F77:G77)*SUM(H77:I77)</f>
        <v>0</v>
      </c>
      <c r="K77" s="152"/>
    </row>
    <row r="78" spans="2:11">
      <c r="B78" s="82">
        <v>9</v>
      </c>
      <c r="C78" s="96" t="str">
        <f>'Quantities Worksheet'!D76</f>
        <v>Health and Safety Plans/ Monitoring &amp; QA/QC</v>
      </c>
      <c r="D78" s="96"/>
      <c r="E78" s="16"/>
      <c r="F78" s="83"/>
      <c r="G78" s="97"/>
      <c r="H78" s="98"/>
      <c r="I78" s="99"/>
      <c r="J78" s="98"/>
      <c r="K78" s="153">
        <f>SUM(J78:J80)</f>
        <v>0</v>
      </c>
    </row>
    <row r="79" spans="2:11" ht="36">
      <c r="B79" s="48"/>
      <c r="C79" s="49"/>
      <c r="D79" s="49">
        <f>'Quantities Worksheet'!E77</f>
        <v>9.01</v>
      </c>
      <c r="E79" s="15" t="str">
        <f>'Quantities Worksheet'!F77</f>
        <v xml:space="preserve">Health and safety &amp; QA/QC for the closure and reclamation work
</v>
      </c>
      <c r="F79" s="75">
        <f>'Quantities Worksheet'!P77</f>
        <v>0.01</v>
      </c>
      <c r="G79" s="92" t="str">
        <f>'Quantities Worksheet'!Q77</f>
        <v xml:space="preserve"> </v>
      </c>
      <c r="H79" s="93" t="str">
        <f>'Activity Rates Worksheet'!Q77</f>
        <v>n/a</v>
      </c>
      <c r="I79" s="94">
        <f>$K$6</f>
        <v>0</v>
      </c>
      <c r="J79" s="93">
        <f>SUM(F79:G79)*SUM(H79:I79)</f>
        <v>0</v>
      </c>
      <c r="K79" s="152"/>
    </row>
    <row r="80" spans="2:11">
      <c r="B80" s="82">
        <v>10</v>
      </c>
      <c r="C80" s="96" t="str">
        <f>'Quantities Worksheet'!D78</f>
        <v>Bonding/ Insurance</v>
      </c>
      <c r="D80" s="96"/>
      <c r="E80" s="16"/>
      <c r="F80" s="83"/>
      <c r="G80" s="97"/>
      <c r="H80" s="98"/>
      <c r="I80" s="99"/>
      <c r="J80" s="98"/>
      <c r="K80" s="153">
        <f>SUM(J80:J82)</f>
        <v>0</v>
      </c>
    </row>
    <row r="81" spans="2:11" ht="24">
      <c r="B81" s="48"/>
      <c r="C81" s="49"/>
      <c r="D81" s="49">
        <f>'Quantities Worksheet'!E79</f>
        <v>10.01</v>
      </c>
      <c r="E81" s="18" t="str">
        <f>'Quantities Worksheet'!F79</f>
        <v xml:space="preserve">Bonding percentage
</v>
      </c>
      <c r="F81" s="75">
        <f>'Quantities Worksheet'!P79</f>
        <v>0.01</v>
      </c>
      <c r="G81" s="92" t="str">
        <f>'Quantities Worksheet'!Q79</f>
        <v xml:space="preserve"> </v>
      </c>
      <c r="H81" s="93" t="str">
        <f>'Activity Rates Worksheet'!Q79</f>
        <v>n/a</v>
      </c>
      <c r="I81" s="94">
        <f>IF(K$6&gt;500000,K$6,0)</f>
        <v>0</v>
      </c>
      <c r="J81" s="93">
        <f>SUM(F81:G81)*SUM(H81:I81)</f>
        <v>0</v>
      </c>
      <c r="K81" s="152"/>
    </row>
    <row r="82" spans="2:11">
      <c r="B82" s="82">
        <v>11</v>
      </c>
      <c r="C82" s="96" t="str">
        <f>'Quantities Worksheet'!D80</f>
        <v>Contingency (e.g. quantity/ cost contingencies)</v>
      </c>
      <c r="D82" s="96"/>
      <c r="E82" s="16"/>
      <c r="F82" s="83"/>
      <c r="G82" s="97"/>
      <c r="H82" s="98"/>
      <c r="I82" s="99"/>
      <c r="J82" s="98"/>
      <c r="K82" s="153">
        <f>SUM(J82:J84)</f>
        <v>0</v>
      </c>
    </row>
    <row r="83" spans="2:11" ht="24">
      <c r="B83" s="85"/>
      <c r="C83" s="95"/>
      <c r="D83" s="95">
        <f>'Quantities Worksheet'!E81</f>
        <v>11.01</v>
      </c>
      <c r="E83" s="15" t="str">
        <f>'Quantities Worksheet'!F81</f>
        <v xml:space="preserve">Contingency for the closure and reclamation work
</v>
      </c>
      <c r="F83" s="75">
        <f>'Quantities Worksheet'!P81</f>
        <v>0.15</v>
      </c>
      <c r="G83" s="92" t="str">
        <f>'Quantities Worksheet'!Q81</f>
        <v xml:space="preserve"> </v>
      </c>
      <c r="H83" s="93" t="str">
        <f>'Activity Rates Worksheet'!Q81</f>
        <v>n/a</v>
      </c>
      <c r="I83" s="94">
        <f>$K$6</f>
        <v>0</v>
      </c>
      <c r="J83" s="93">
        <f>SUM(F83:G83)*SUM(H83:I83)</f>
        <v>0</v>
      </c>
      <c r="K83" s="152"/>
    </row>
    <row r="84" spans="2:11">
      <c r="B84" s="82">
        <v>12</v>
      </c>
      <c r="C84" s="96" t="str">
        <f>'Quantities Worksheet'!D82</f>
        <v>Other Project Specific Costs</v>
      </c>
      <c r="D84" s="96"/>
      <c r="E84" s="16"/>
      <c r="F84" s="83"/>
      <c r="G84" s="97"/>
      <c r="H84" s="98"/>
      <c r="I84" s="99"/>
      <c r="J84" s="98"/>
      <c r="K84" s="153">
        <f>SUM(J84:J86)</f>
        <v>0</v>
      </c>
    </row>
    <row r="85" spans="2:11" ht="24">
      <c r="B85" s="85"/>
      <c r="C85" s="95"/>
      <c r="D85" s="95">
        <f>'Quantities Worksheet'!E83</f>
        <v>12.01</v>
      </c>
      <c r="E85" s="15" t="str">
        <f>'Quantities Worksheet'!F83</f>
        <v xml:space="preserve">Other costs not already included in the Tool
</v>
      </c>
      <c r="F85" s="50" t="str">
        <f>'Quantities Worksheet'!P83</f>
        <v>No Work</v>
      </c>
      <c r="G85" s="92" t="str">
        <f>'Quantities Worksheet'!Q83</f>
        <v>cost</v>
      </c>
      <c r="H85" s="93" t="str">
        <f>'Activity Rates Worksheet'!Q83</f>
        <v>Develop Work Specific Cost</v>
      </c>
      <c r="I85" s="94"/>
      <c r="J85" s="93">
        <f>SUM(F85:G85)*SUM(H85:I85)</f>
        <v>0</v>
      </c>
      <c r="K85" s="152"/>
    </row>
    <row r="86" spans="2:11">
      <c r="B86" s="85">
        <v>101</v>
      </c>
      <c r="C86" s="95" t="s">
        <v>182</v>
      </c>
      <c r="D86" s="95"/>
      <c r="E86" s="15"/>
      <c r="F86" s="50"/>
      <c r="G86" s="92"/>
      <c r="H86" s="93"/>
      <c r="I86" s="94"/>
      <c r="J86" s="93"/>
      <c r="K86" s="152">
        <f>SUM(J86:J88)</f>
        <v>0</v>
      </c>
    </row>
    <row r="87" spans="2:11" ht="36">
      <c r="B87" s="85"/>
      <c r="C87" s="95"/>
      <c r="D87" s="95">
        <v>101.01</v>
      </c>
      <c r="E87" s="15" t="s">
        <v>276</v>
      </c>
      <c r="F87" s="50"/>
      <c r="G87" s="92"/>
      <c r="H87" s="93"/>
      <c r="I87" s="94"/>
      <c r="J87" s="93">
        <f>-'Costing Questions'!E39</f>
        <v>0</v>
      </c>
      <c r="K87" s="152"/>
    </row>
    <row r="88" spans="2:11">
      <c r="B88" s="85" t="s">
        <v>64</v>
      </c>
      <c r="C88" s="95"/>
      <c r="D88" s="95"/>
      <c r="E88" s="15"/>
      <c r="F88" s="53"/>
      <c r="G88" s="440"/>
      <c r="H88" s="441"/>
      <c r="I88" s="94"/>
      <c r="J88" s="441"/>
      <c r="K88" s="442"/>
    </row>
    <row r="89" spans="2:11" ht="10.050000000000001" customHeight="1"/>
  </sheetData>
  <sheetProtection sheet="1" objects="1" scenarios="1"/>
  <conditionalFormatting sqref="B6:K88">
    <cfRule type="expression" dxfId="94" priority="63">
      <formula>OR($F6="No",$F6="No Work")</formula>
    </cfRule>
    <cfRule type="expression" dxfId="93" priority="64">
      <formula>NOT(ISBLANK($E6))</formula>
    </cfRule>
    <cfRule type="expression" dxfId="92" priority="65">
      <formula>ISNUMBER($B6)</formula>
    </cfRule>
    <cfRule type="expression" dxfId="91" priority="66">
      <formula>AND(ISBLANK($B6),ISTEXT($C6))</formula>
    </cfRule>
  </conditionalFormatting>
  <pageMargins left="0.31496062992125984" right="0.31496062992125984" top="0.74803149606299213" bottom="0.55118110236220474" header="0.31496062992125984" footer="0.31496062992125984"/>
  <pageSetup scale="80" fitToHeight="12" orientation="portrait" horizontalDpi="1200" verticalDpi="1200" r:id="rId1"/>
  <headerFooter>
    <oddHeader>&amp;R&amp;K00-024Mackenzie Valley Land-Use Closure and Reclamation Tool - Closue Costs</oddHeader>
    <oddFooter>&amp;C&amp;K00-033BCL/ DXB&amp;R&amp;K00-033Page &amp;P of &amp;N</oddFooter>
  </headerFooter>
  <rowBreaks count="1" manualBreakCount="1">
    <brk id="59" max="11" man="1"/>
  </rowBreaks>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A22FE-A89D-45AE-81F3-36F331EC6BCA}">
  <sheetPr codeName="Sheet5">
    <tabColor theme="0" tint="-0.249977111117893"/>
    <pageSetUpPr fitToPage="1"/>
  </sheetPr>
  <dimension ref="A1:W88"/>
  <sheetViews>
    <sheetView zoomScaleNormal="100" workbookViewId="0">
      <pane xSplit="7" ySplit="5" topLeftCell="H6" activePane="bottomRight" state="frozen"/>
      <selection activeCell="AE5" sqref="A5:AE5"/>
      <selection pane="topRight" activeCell="AE5" sqref="A5:AE5"/>
      <selection pane="bottomLeft" activeCell="AE5" sqref="A5:AE5"/>
      <selection pane="bottomRight" activeCell="L10" sqref="L10"/>
    </sheetView>
  </sheetViews>
  <sheetFormatPr defaultColWidth="8.77734375" defaultRowHeight="18" outlineLevelCol="1"/>
  <cols>
    <col min="1" max="1" width="1.6640625" style="8" customWidth="1"/>
    <col min="2" max="2" width="6.6640625" style="2" customWidth="1"/>
    <col min="3" max="4" width="8.6640625" style="1" customWidth="1"/>
    <col min="5" max="5" width="6.6640625" style="1" customWidth="1"/>
    <col min="6" max="6" width="36.6640625" style="3" customWidth="1"/>
    <col min="7" max="7" width="36.6640625" style="3" customWidth="1" outlineLevel="1"/>
    <col min="8" max="8" width="1.6640625" customWidth="1"/>
    <col min="9" max="12" width="12.6640625" style="3" customWidth="1"/>
    <col min="13" max="14" width="12.6640625" style="6" customWidth="1"/>
    <col min="15" max="15" width="1.6640625" style="6" customWidth="1"/>
    <col min="16" max="16" width="12.6640625" style="7" customWidth="1"/>
    <col min="17" max="17" width="12.6640625" style="1" customWidth="1"/>
    <col min="18" max="19" width="1.6640625" style="1" customWidth="1" outlineLevel="1"/>
    <col min="20" max="20" width="24.6640625" style="1" customWidth="1" outlineLevel="1"/>
    <col min="21" max="22" width="12.6640625" style="1" customWidth="1" outlineLevel="1"/>
    <col min="23" max="23" width="1.6640625" style="26" customWidth="1"/>
    <col min="24" max="16384" width="8.77734375" style="1"/>
  </cols>
  <sheetData>
    <row r="1" spans="1:23">
      <c r="A1" s="218" t="str">
        <f>'Costing Questions'!B1</f>
        <v>Closure and Reclamation Tool - Closure Costs_Project Name</v>
      </c>
    </row>
    <row r="2" spans="1:23" ht="10.050000000000001" customHeight="1" thickBot="1"/>
    <row r="3" spans="1:23" ht="18.600000000000001" thickBot="1">
      <c r="B3" s="332" t="s">
        <v>282</v>
      </c>
      <c r="C3" s="333"/>
      <c r="D3" s="333"/>
      <c r="E3" s="334"/>
      <c r="F3" s="210"/>
      <c r="G3" s="210"/>
    </row>
    <row r="4" spans="1:23" ht="10.050000000000001" customHeight="1">
      <c r="B4" s="9"/>
    </row>
    <row r="5" spans="1:23" s="13" customFormat="1" ht="31.2">
      <c r="A5" s="323" t="s">
        <v>239</v>
      </c>
      <c r="B5" s="159" t="s">
        <v>300</v>
      </c>
      <c r="C5" s="159" t="s">
        <v>132</v>
      </c>
      <c r="D5" s="159" t="s">
        <v>131</v>
      </c>
      <c r="E5" s="159" t="s">
        <v>133</v>
      </c>
      <c r="F5" s="159" t="s">
        <v>21</v>
      </c>
      <c r="G5" s="159" t="s">
        <v>55</v>
      </c>
      <c r="H5" s="37" t="s">
        <v>0</v>
      </c>
      <c r="I5" s="159" t="s">
        <v>274</v>
      </c>
      <c r="J5" s="159" t="s">
        <v>275</v>
      </c>
      <c r="K5" s="159" t="s">
        <v>280</v>
      </c>
      <c r="L5" s="159" t="s">
        <v>92</v>
      </c>
      <c r="M5" s="160" t="s">
        <v>93</v>
      </c>
      <c r="N5" s="160" t="s">
        <v>94</v>
      </c>
      <c r="O5" s="38" t="s">
        <v>52</v>
      </c>
      <c r="P5" s="160" t="s">
        <v>51</v>
      </c>
      <c r="Q5" s="160" t="s">
        <v>3</v>
      </c>
      <c r="R5" s="211" t="s">
        <v>360</v>
      </c>
      <c r="S5" s="212" t="s">
        <v>361</v>
      </c>
      <c r="T5" s="160" t="s">
        <v>67</v>
      </c>
      <c r="U5" s="160" t="s">
        <v>68</v>
      </c>
      <c r="V5" s="160" t="s">
        <v>115</v>
      </c>
      <c r="W5" s="27"/>
    </row>
    <row r="6" spans="1:23">
      <c r="B6" s="164">
        <v>1</v>
      </c>
      <c r="C6" s="177">
        <v>1</v>
      </c>
      <c r="D6" s="178" t="s">
        <v>400</v>
      </c>
      <c r="E6" s="178"/>
      <c r="F6" s="163"/>
      <c r="G6" s="163"/>
      <c r="H6" s="42"/>
      <c r="I6" s="416"/>
      <c r="J6" s="165"/>
      <c r="K6" s="165"/>
      <c r="L6" s="165"/>
      <c r="M6" s="185"/>
      <c r="N6" s="162"/>
      <c r="O6" s="46"/>
      <c r="P6" s="162"/>
      <c r="Q6" s="162"/>
      <c r="R6" s="213"/>
      <c r="S6" s="214"/>
      <c r="T6" s="186"/>
      <c r="U6" s="162"/>
      <c r="V6" s="162"/>
    </row>
    <row r="7" spans="1:23">
      <c r="B7" s="47">
        <v>2</v>
      </c>
      <c r="C7" s="48"/>
      <c r="D7" s="49" t="s">
        <v>11</v>
      </c>
      <c r="E7" s="49" t="s">
        <v>400</v>
      </c>
      <c r="F7" s="18"/>
      <c r="G7" s="18"/>
      <c r="H7" s="42"/>
      <c r="I7" s="417" t="s">
        <v>90</v>
      </c>
      <c r="J7" s="50"/>
      <c r="K7" s="50"/>
      <c r="L7" s="50"/>
      <c r="M7" s="51"/>
      <c r="N7" s="50"/>
      <c r="O7" s="46"/>
      <c r="P7" s="50"/>
      <c r="Q7" s="50"/>
      <c r="R7" s="213"/>
      <c r="S7" s="214"/>
      <c r="T7" s="34"/>
      <c r="U7" s="50"/>
      <c r="V7" s="50"/>
    </row>
    <row r="8" spans="1:23" ht="36">
      <c r="B8" s="47">
        <v>3</v>
      </c>
      <c r="C8" s="48"/>
      <c r="D8" s="49"/>
      <c r="E8" s="49">
        <v>1.01</v>
      </c>
      <c r="F8" s="18" t="s">
        <v>240</v>
      </c>
      <c r="G8" s="18" t="s">
        <v>334</v>
      </c>
      <c r="H8" s="42"/>
      <c r="I8" s="417">
        <f>'Costing Questions'!B17</f>
        <v>3</v>
      </c>
      <c r="J8" s="52">
        <f>'Costing Questions'!E$17</f>
        <v>0</v>
      </c>
      <c r="K8" s="50"/>
      <c r="L8" s="50" t="s">
        <v>22</v>
      </c>
      <c r="M8" s="50" t="s">
        <v>23</v>
      </c>
      <c r="N8" s="50" t="s">
        <v>59</v>
      </c>
      <c r="O8" s="46"/>
      <c r="P8" s="50" t="str">
        <f>IF(Q_TBL[[#This Row],[Information provided]]="Yes",Q_TBL[[#This Row],[Variable1]],Q_TBL[[#This Row],[Variable2]])</f>
        <v>No</v>
      </c>
      <c r="Q8" s="50" t="s">
        <v>310</v>
      </c>
      <c r="R8" s="213"/>
      <c r="S8" s="214"/>
      <c r="T8" s="34"/>
      <c r="U8" s="50"/>
      <c r="V8" s="50"/>
    </row>
    <row r="9" spans="1:23" ht="144">
      <c r="B9" s="47">
        <v>4</v>
      </c>
      <c r="C9" s="48"/>
      <c r="D9" s="49"/>
      <c r="E9" s="49">
        <v>1.02</v>
      </c>
      <c r="F9" s="18" t="s">
        <v>396</v>
      </c>
      <c r="G9" s="18" t="s">
        <v>147</v>
      </c>
      <c r="H9" s="42"/>
      <c r="I9" s="417">
        <f>'Costing Questions'!B18</f>
        <v>4</v>
      </c>
      <c r="J9" s="54">
        <f>'Costing Questions'!E$18</f>
        <v>0</v>
      </c>
      <c r="K9" s="50"/>
      <c r="L9" s="50"/>
      <c r="M9" s="50"/>
      <c r="N9" s="50"/>
      <c r="O9" s="46"/>
      <c r="P9" s="50" t="str">
        <f>IF(P$8="Yes",Q_TBL[[#This Row],[Information provided]],N$8)</f>
        <v>No Work</v>
      </c>
      <c r="Q9" s="50" t="s">
        <v>32</v>
      </c>
      <c r="R9" s="213"/>
      <c r="S9" s="214"/>
      <c r="T9" s="34" t="s">
        <v>70</v>
      </c>
      <c r="U9" s="50">
        <v>1.9</v>
      </c>
      <c r="V9" s="50">
        <f>IF(ISNUMBER(Q_TBL[[#This Row],[Quantity]]),Q_TBL[[#This Row],[Quantity]]/Q_TBL[[#This Row],[Production - units/ crewday]],0)</f>
        <v>0</v>
      </c>
    </row>
    <row r="10" spans="1:23" ht="96">
      <c r="B10" s="47">
        <v>5</v>
      </c>
      <c r="C10" s="48"/>
      <c r="D10" s="49"/>
      <c r="E10" s="49">
        <v>1.03</v>
      </c>
      <c r="F10" s="18" t="s">
        <v>241</v>
      </c>
      <c r="G10" s="18" t="s">
        <v>331</v>
      </c>
      <c r="H10" s="42"/>
      <c r="I10" s="417">
        <f>I9</f>
        <v>4</v>
      </c>
      <c r="J10" s="53"/>
      <c r="K10" s="53"/>
      <c r="L10" s="68">
        <v>0.15</v>
      </c>
      <c r="M10" s="55">
        <f>J9*10000*Q_TBL[[#This Row],[Variable1]]</f>
        <v>0</v>
      </c>
      <c r="N10" s="56">
        <v>0.15</v>
      </c>
      <c r="O10" s="57"/>
      <c r="P10" s="50" t="str">
        <f>IF(P$8="Yes",ROUND(PRODUCT(Q_TBL[[#This Row],[Variable2]:[Variable3]]),1),N$8)</f>
        <v>No Work</v>
      </c>
      <c r="Q10" s="50" t="s">
        <v>34</v>
      </c>
      <c r="R10" s="213"/>
      <c r="S10" s="214"/>
      <c r="T10" s="34" t="s">
        <v>78</v>
      </c>
      <c r="U10" s="50">
        <v>880</v>
      </c>
      <c r="V10" s="50">
        <f>IF(ISNUMBER(Q_TBL[[#This Row],[Quantity]]),Q_TBL[[#This Row],[Quantity]]/Q_TBL[[#This Row],[Production - units/ crewday]],0)</f>
        <v>0</v>
      </c>
    </row>
    <row r="11" spans="1:23" ht="48">
      <c r="B11" s="47">
        <v>6</v>
      </c>
      <c r="C11" s="48"/>
      <c r="D11" s="49"/>
      <c r="E11" s="49">
        <v>1.04</v>
      </c>
      <c r="F11" s="18" t="s">
        <v>242</v>
      </c>
      <c r="G11" s="18" t="s">
        <v>332</v>
      </c>
      <c r="H11" s="42"/>
      <c r="I11" s="417">
        <f>I9</f>
        <v>4</v>
      </c>
      <c r="J11" s="53"/>
      <c r="K11" s="53"/>
      <c r="L11" s="58">
        <f>M10/10000</f>
        <v>0</v>
      </c>
      <c r="M11" s="50"/>
      <c r="N11" s="50"/>
      <c r="O11" s="59"/>
      <c r="P11" s="50" t="str">
        <f>IF(P$8="Yes",Q_TBL[[#This Row],[Variable1]],N$8)</f>
        <v>No Work</v>
      </c>
      <c r="Q11" s="50" t="s">
        <v>32</v>
      </c>
      <c r="R11" s="213"/>
      <c r="S11" s="214"/>
      <c r="T11" s="34" t="s">
        <v>79</v>
      </c>
      <c r="U11" s="50">
        <v>2</v>
      </c>
      <c r="V11" s="50">
        <f>IF(ISNUMBER(Q_TBL[[#This Row],[Quantity]]),Q_TBL[[#This Row],[Quantity]]/Q_TBL[[#This Row],[Production - units/ crewday]],0)</f>
        <v>0</v>
      </c>
    </row>
    <row r="12" spans="1:23" ht="48">
      <c r="B12" s="47">
        <v>7</v>
      </c>
      <c r="C12" s="48"/>
      <c r="D12" s="49"/>
      <c r="E12" s="49">
        <v>1.05</v>
      </c>
      <c r="F12" s="18" t="s">
        <v>243</v>
      </c>
      <c r="G12" s="18" t="s">
        <v>333</v>
      </c>
      <c r="H12" s="32"/>
      <c r="I12" s="417">
        <f>I9</f>
        <v>4</v>
      </c>
      <c r="J12" s="53"/>
      <c r="K12" s="53"/>
      <c r="L12" s="58">
        <f>M10/10000</f>
        <v>0</v>
      </c>
      <c r="M12" s="50"/>
      <c r="N12" s="50"/>
      <c r="O12" s="46"/>
      <c r="P12" s="50" t="str">
        <f>IF(P$8="Yes",Q_TBL[[#This Row],[Variable1]],N$8)</f>
        <v>No Work</v>
      </c>
      <c r="Q12" s="50" t="s">
        <v>32</v>
      </c>
      <c r="R12" s="213"/>
      <c r="S12" s="214"/>
      <c r="T12" s="34" t="s">
        <v>79</v>
      </c>
      <c r="U12" s="50">
        <v>2</v>
      </c>
      <c r="V12" s="50">
        <f>IF(ISNUMBER(Q_TBL[[#This Row],[Quantity]]),Q_TBL[[#This Row],[Quantity]]/Q_TBL[[#This Row],[Production - units/ crewday]],0)</f>
        <v>0</v>
      </c>
    </row>
    <row r="13" spans="1:23">
      <c r="B13" s="166">
        <v>8</v>
      </c>
      <c r="C13" s="48">
        <v>2</v>
      </c>
      <c r="D13" s="49" t="str">
        <f>"Removal of Abandoned Equipment and Buildings (Demobilization component in Section "&amp;C40&amp;")"</f>
        <v>Removal of Abandoned Equipment and Buildings (Demobilization component in Section 5)</v>
      </c>
      <c r="E13" s="49"/>
      <c r="F13" s="18"/>
      <c r="G13" s="18"/>
      <c r="H13" s="42"/>
      <c r="I13" s="417"/>
      <c r="J13" s="50"/>
      <c r="K13" s="50"/>
      <c r="L13" s="50"/>
      <c r="M13" s="51"/>
      <c r="N13" s="50"/>
      <c r="O13" s="46"/>
      <c r="P13" s="50"/>
      <c r="Q13" s="50"/>
      <c r="R13" s="213"/>
      <c r="S13" s="214"/>
      <c r="T13" s="34"/>
      <c r="U13" s="50"/>
      <c r="V13" s="50"/>
    </row>
    <row r="14" spans="1:23">
      <c r="B14" s="47">
        <v>9</v>
      </c>
      <c r="C14" s="48"/>
      <c r="D14" s="49" t="s">
        <v>11</v>
      </c>
      <c r="E14" s="49" t="s">
        <v>53</v>
      </c>
      <c r="F14" s="18"/>
      <c r="G14" s="18"/>
      <c r="H14" s="42"/>
      <c r="I14" s="417"/>
      <c r="J14" s="50"/>
      <c r="K14" s="50"/>
      <c r="L14" s="50"/>
      <c r="M14" s="51"/>
      <c r="N14" s="50"/>
      <c r="O14" s="46"/>
      <c r="P14" s="50"/>
      <c r="Q14" s="50"/>
      <c r="R14" s="213"/>
      <c r="S14" s="214"/>
      <c r="T14" s="34"/>
      <c r="U14" s="50"/>
      <c r="V14" s="50"/>
    </row>
    <row r="15" spans="1:23" ht="72">
      <c r="B15" s="47">
        <v>10</v>
      </c>
      <c r="C15" s="48"/>
      <c r="D15" s="49"/>
      <c r="E15" s="49">
        <v>2.0099999999999998</v>
      </c>
      <c r="F15" s="18" t="s">
        <v>244</v>
      </c>
      <c r="G15" s="18" t="s">
        <v>148</v>
      </c>
      <c r="H15" s="42"/>
      <c r="I15" s="417" t="str">
        <f>'Costing Questions'!B26&amp;", "&amp;'Costing Questions'!B15</f>
        <v>9, 2</v>
      </c>
      <c r="J15" s="52">
        <f>'Costing Questions'!E$26</f>
        <v>0</v>
      </c>
      <c r="K15" s="52">
        <f>'Costing Questions'!E$15</f>
        <v>0</v>
      </c>
      <c r="L15" s="50" t="b">
        <f>Q_TBL[[#This Row],[True/ False]]='SYS_ Gen'!F9</f>
        <v>0</v>
      </c>
      <c r="M15" s="50">
        <v>0.25</v>
      </c>
      <c r="N15" s="50"/>
      <c r="O15" s="46"/>
      <c r="P15" s="50">
        <f>ROUNDUP(IF(Q_TBL[[#This Row],[Variable1]]=TRUE,Q_TBL[[#This Row],[Information provided]]*Q_TBL[[#This Row],[Variable2]],Q_TBL[[#This Row],[Information provided]]),0)</f>
        <v>0</v>
      </c>
      <c r="Q15" s="50" t="s">
        <v>31</v>
      </c>
      <c r="R15" s="213"/>
      <c r="S15" s="214"/>
      <c r="T15" s="34" t="s">
        <v>80</v>
      </c>
      <c r="U15" s="50">
        <v>44</v>
      </c>
      <c r="V15" s="50">
        <f>Q_TBL[[#This Row],[Quantity]]/Q_TBL[[#This Row],[Production - units/ crewday]]</f>
        <v>0</v>
      </c>
    </row>
    <row r="16" spans="1:23">
      <c r="B16" s="47">
        <v>11</v>
      </c>
      <c r="C16" s="48"/>
      <c r="D16" s="49" t="s">
        <v>12</v>
      </c>
      <c r="E16" s="49" t="s">
        <v>54</v>
      </c>
      <c r="F16" s="18"/>
      <c r="G16" s="18"/>
      <c r="H16" s="42"/>
      <c r="I16" s="417"/>
      <c r="J16" s="50"/>
      <c r="K16" s="50"/>
      <c r="L16" s="50"/>
      <c r="M16" s="51"/>
      <c r="N16" s="50"/>
      <c r="O16" s="46"/>
      <c r="P16" s="50"/>
      <c r="Q16" s="50"/>
      <c r="R16" s="213"/>
      <c r="S16" s="214"/>
      <c r="T16" s="34"/>
      <c r="U16" s="50"/>
      <c r="V16" s="50"/>
    </row>
    <row r="17" spans="2:22" ht="36">
      <c r="B17" s="47">
        <v>12</v>
      </c>
      <c r="C17" s="48"/>
      <c r="D17" s="49"/>
      <c r="E17" s="49">
        <v>2.0199999999999996</v>
      </c>
      <c r="F17" s="18" t="s">
        <v>245</v>
      </c>
      <c r="G17" s="18" t="s">
        <v>336</v>
      </c>
      <c r="H17" s="42"/>
      <c r="I17" s="417">
        <f>'Costing Questions'!B18</f>
        <v>4</v>
      </c>
      <c r="J17" s="54">
        <f>'Costing Questions'!E$18</f>
        <v>0</v>
      </c>
      <c r="K17" s="50"/>
      <c r="L17" s="50"/>
      <c r="M17" s="50"/>
      <c r="N17" s="50"/>
      <c r="O17" s="46"/>
      <c r="P17" s="50">
        <f>Q_TBL[[#This Row],[Information provided]]</f>
        <v>0</v>
      </c>
      <c r="Q17" s="50" t="s">
        <v>32</v>
      </c>
      <c r="R17" s="213"/>
      <c r="S17" s="214"/>
      <c r="T17" s="34" t="s">
        <v>81</v>
      </c>
      <c r="U17" s="50">
        <v>4</v>
      </c>
      <c r="V17" s="50">
        <f>Q_TBL[[#This Row],[Quantity]]/Q_TBL[[#This Row],[Production - units/ crewday]]</f>
        <v>0</v>
      </c>
    </row>
    <row r="18" spans="2:22" ht="48">
      <c r="B18" s="47">
        <v>13</v>
      </c>
      <c r="C18" s="48"/>
      <c r="D18" s="49"/>
      <c r="E18" s="49">
        <v>2.0299999999999994</v>
      </c>
      <c r="F18" s="18" t="s">
        <v>246</v>
      </c>
      <c r="G18" s="18" t="s">
        <v>335</v>
      </c>
      <c r="H18" s="42"/>
      <c r="I18" s="417">
        <f>'Costing Questions'!B20</f>
        <v>5</v>
      </c>
      <c r="J18" s="196">
        <f>'Costing Questions'!E$20</f>
        <v>0</v>
      </c>
      <c r="K18" s="50"/>
      <c r="L18" s="50"/>
      <c r="M18" s="50"/>
      <c r="N18" s="50"/>
      <c r="O18" s="46"/>
      <c r="P18" s="50">
        <f>ROUND(Q_TBL[[#This Row],[Information provided]],1)</f>
        <v>0</v>
      </c>
      <c r="Q18" s="50" t="s">
        <v>29</v>
      </c>
      <c r="R18" s="213"/>
      <c r="S18" s="214"/>
      <c r="T18" s="34" t="s">
        <v>69</v>
      </c>
      <c r="U18" s="50">
        <v>80</v>
      </c>
      <c r="V18" s="50">
        <f>Q_TBL[[#This Row],[Quantity]]/Q_TBL[[#This Row],[Production - units/ crewday]]</f>
        <v>0</v>
      </c>
    </row>
    <row r="19" spans="2:22">
      <c r="B19" s="47">
        <v>14</v>
      </c>
      <c r="C19" s="48"/>
      <c r="D19" s="49" t="s">
        <v>13</v>
      </c>
      <c r="E19" s="49" t="s">
        <v>24</v>
      </c>
      <c r="F19" s="18"/>
      <c r="G19" s="18"/>
      <c r="H19" s="42"/>
      <c r="I19" s="417"/>
      <c r="J19" s="50"/>
      <c r="K19" s="50"/>
      <c r="L19" s="50"/>
      <c r="M19" s="51"/>
      <c r="N19" s="50"/>
      <c r="O19" s="46"/>
      <c r="P19" s="50"/>
      <c r="Q19" s="50"/>
      <c r="R19" s="213"/>
      <c r="S19" s="214"/>
      <c r="T19" s="34"/>
      <c r="U19" s="50"/>
      <c r="V19" s="50"/>
    </row>
    <row r="20" spans="2:22" ht="60">
      <c r="B20" s="47">
        <v>15</v>
      </c>
      <c r="C20" s="48"/>
      <c r="D20" s="49"/>
      <c r="E20" s="49">
        <v>2.04</v>
      </c>
      <c r="F20" s="18" t="s">
        <v>307</v>
      </c>
      <c r="G20" s="18" t="s">
        <v>279</v>
      </c>
      <c r="H20" s="42"/>
      <c r="I20" s="417" t="str">
        <f>'Costing Questions'!B21&amp;", "&amp;'Costing Questions'!B27&amp;", "&amp;'Costing Questions'!B15</f>
        <v>6, 10, 2</v>
      </c>
      <c r="J20" s="197">
        <f>'Costing Questions'!E$21</f>
        <v>0</v>
      </c>
      <c r="K20" s="198">
        <f>'Costing Questions'!E$27</f>
        <v>0</v>
      </c>
      <c r="L20" s="50" t="b">
        <f>L15</f>
        <v>0</v>
      </c>
      <c r="M20" s="50">
        <v>0.25</v>
      </c>
      <c r="N20" s="53"/>
      <c r="O20" s="46"/>
      <c r="P20" s="50">
        <f>Q_TBL[[#This Row],[Information provided]]+ROUNDUP(IF(Q_TBL[[#This Row],[Variable1]]=TRUE,Q_TBL[[#This Row],[True/ False]]*Q_TBL[[#This Row],[Variable2]],Q_TBL[[#This Row],[True/ False]]),3)</f>
        <v>0</v>
      </c>
      <c r="Q20" s="50" t="s">
        <v>27</v>
      </c>
      <c r="R20" s="213"/>
      <c r="S20" s="214"/>
      <c r="T20" s="34"/>
      <c r="U20" s="50"/>
      <c r="V20" s="50"/>
    </row>
    <row r="21" spans="2:22" ht="24">
      <c r="B21" s="47">
        <v>16</v>
      </c>
      <c r="C21" s="48"/>
      <c r="D21" s="49"/>
      <c r="E21" s="49">
        <v>2.0499999999999998</v>
      </c>
      <c r="F21" s="18" t="s">
        <v>247</v>
      </c>
      <c r="G21" s="18" t="s">
        <v>57</v>
      </c>
      <c r="H21" s="42"/>
      <c r="I21" s="417" t="str">
        <f>'Costing Questions'!B21&amp;", "&amp;'Costing Questions'!B27&amp;", "&amp;'Costing Questions'!B15</f>
        <v>6, 10, 2</v>
      </c>
      <c r="J21" s="50"/>
      <c r="K21" s="50"/>
      <c r="L21" s="50"/>
      <c r="M21" s="50"/>
      <c r="N21" s="50"/>
      <c r="O21" s="46"/>
      <c r="P21" s="50">
        <f>P20</f>
        <v>0</v>
      </c>
      <c r="Q21" s="50" t="s">
        <v>27</v>
      </c>
      <c r="R21" s="213"/>
      <c r="S21" s="214"/>
      <c r="T21" s="34"/>
      <c r="U21" s="50"/>
      <c r="V21" s="50"/>
    </row>
    <row r="22" spans="2:22">
      <c r="B22" s="47">
        <v>17</v>
      </c>
      <c r="C22" s="48">
        <v>3</v>
      </c>
      <c r="D22" s="49" t="str">
        <f>"Management of Hazardous Materials and Contaminated Soil (Demobilization component in Section "&amp;C40&amp;")"</f>
        <v>Management of Hazardous Materials and Contaminated Soil (Demobilization component in Section 5)</v>
      </c>
      <c r="E22" s="49"/>
      <c r="F22" s="18"/>
      <c r="G22" s="18"/>
      <c r="H22" s="42"/>
      <c r="I22" s="417"/>
      <c r="J22" s="50"/>
      <c r="K22" s="50"/>
      <c r="L22" s="50"/>
      <c r="M22" s="51"/>
      <c r="N22" s="50"/>
      <c r="O22" s="46"/>
      <c r="P22" s="50"/>
      <c r="Q22" s="50"/>
      <c r="R22" s="213"/>
      <c r="S22" s="214"/>
      <c r="T22" s="34"/>
      <c r="U22" s="50"/>
      <c r="V22" s="50"/>
    </row>
    <row r="23" spans="2:22">
      <c r="B23" s="47">
        <v>18</v>
      </c>
      <c r="C23" s="48"/>
      <c r="D23" s="49" t="s">
        <v>11</v>
      </c>
      <c r="E23" s="49" t="s">
        <v>176</v>
      </c>
      <c r="F23" s="18"/>
      <c r="G23" s="18"/>
      <c r="H23" s="42"/>
      <c r="I23" s="417"/>
      <c r="J23" s="50"/>
      <c r="K23" s="50"/>
      <c r="L23" s="50"/>
      <c r="M23" s="51"/>
      <c r="N23" s="50"/>
      <c r="O23" s="46"/>
      <c r="P23" s="50"/>
      <c r="Q23" s="50"/>
      <c r="R23" s="213"/>
      <c r="S23" s="214"/>
      <c r="T23" s="34"/>
      <c r="U23" s="50"/>
      <c r="V23" s="50"/>
    </row>
    <row r="24" spans="2:22" ht="96">
      <c r="B24" s="47">
        <v>19</v>
      </c>
      <c r="C24" s="48"/>
      <c r="D24" s="49"/>
      <c r="E24" s="49">
        <v>3.01</v>
      </c>
      <c r="F24" s="18" t="s">
        <v>149</v>
      </c>
      <c r="G24" s="18" t="s">
        <v>150</v>
      </c>
      <c r="H24" s="42"/>
      <c r="I24" s="417">
        <f>'Costing Questions'!B29</f>
        <v>11</v>
      </c>
      <c r="J24" s="199">
        <f>'Costing Questions'!E$29</f>
        <v>0</v>
      </c>
      <c r="K24" s="50"/>
      <c r="L24" s="50"/>
      <c r="M24" s="61"/>
      <c r="N24" s="53"/>
      <c r="O24" s="46"/>
      <c r="P24" s="50">
        <f>Q_TBL[[#This Row],[Information provided]]</f>
        <v>0</v>
      </c>
      <c r="Q24" s="50" t="s">
        <v>49</v>
      </c>
      <c r="R24" s="213"/>
      <c r="S24" s="214"/>
      <c r="T24" s="34" t="s">
        <v>146</v>
      </c>
      <c r="U24" s="50">
        <f>132*205</f>
        <v>27060</v>
      </c>
      <c r="V24" s="50">
        <f>Q_TBL[[#This Row],[Quantity]]/Q_TBL[[#This Row],[Production - units/ crewday]]</f>
        <v>0</v>
      </c>
    </row>
    <row r="25" spans="2:22" ht="120">
      <c r="B25" s="47">
        <v>20</v>
      </c>
      <c r="C25" s="48"/>
      <c r="D25" s="49"/>
      <c r="E25" s="49">
        <v>3.02</v>
      </c>
      <c r="F25" s="18" t="s">
        <v>248</v>
      </c>
      <c r="G25" s="18" t="s">
        <v>359</v>
      </c>
      <c r="H25" s="42"/>
      <c r="I25" s="417"/>
      <c r="J25" s="50"/>
      <c r="K25" s="53" t="b">
        <f>P24&gt;0</f>
        <v>0</v>
      </c>
      <c r="L25" s="60">
        <v>1</v>
      </c>
      <c r="M25" s="53">
        <v>0</v>
      </c>
      <c r="N25" s="53"/>
      <c r="O25" s="46"/>
      <c r="P25" s="50">
        <f>IF(Q_TBL[[#This Row],[True/ False]]=TRUE,Q_TBL[[#This Row],[Variable1]],Q_TBL[[#This Row],[Variable2]])</f>
        <v>0</v>
      </c>
      <c r="Q25" s="50" t="s">
        <v>285</v>
      </c>
      <c r="R25" s="213"/>
      <c r="S25" s="214"/>
      <c r="T25" s="34" t="s">
        <v>71</v>
      </c>
      <c r="U25" s="50"/>
      <c r="V25" s="50"/>
    </row>
    <row r="26" spans="2:22">
      <c r="B26" s="47">
        <v>21</v>
      </c>
      <c r="C26" s="48"/>
      <c r="D26" s="49" t="s">
        <v>12</v>
      </c>
      <c r="E26" s="49" t="s">
        <v>151</v>
      </c>
      <c r="F26" s="18"/>
      <c r="G26" s="18"/>
      <c r="H26" s="42"/>
      <c r="I26" s="417"/>
      <c r="J26" s="50"/>
      <c r="K26" s="50"/>
      <c r="L26" s="50"/>
      <c r="M26" s="51"/>
      <c r="N26" s="50"/>
      <c r="O26" s="46"/>
      <c r="P26" s="50"/>
      <c r="Q26" s="50"/>
      <c r="R26" s="213"/>
      <c r="S26" s="214"/>
      <c r="T26" s="34"/>
      <c r="U26" s="50"/>
      <c r="V26" s="50"/>
    </row>
    <row r="27" spans="2:22" ht="96">
      <c r="B27" s="47">
        <v>22</v>
      </c>
      <c r="C27" s="48"/>
      <c r="D27" s="49"/>
      <c r="E27" s="49">
        <v>3.03</v>
      </c>
      <c r="F27" s="18" t="s">
        <v>249</v>
      </c>
      <c r="G27" s="18" t="s">
        <v>337</v>
      </c>
      <c r="H27" s="42"/>
      <c r="I27" s="417">
        <f>'Costing Questions'!B29</f>
        <v>11</v>
      </c>
      <c r="J27" s="199">
        <f>'Costing Questions'!E$29</f>
        <v>0</v>
      </c>
      <c r="K27" s="53"/>
      <c r="L27" s="328">
        <v>1E-4</v>
      </c>
      <c r="M27" s="329">
        <f>ROUND(Q_TBL[[#This Row],[Information provided]]*Q_TBL[[#This Row],[Variable1]],1)</f>
        <v>0</v>
      </c>
      <c r="N27" s="63">
        <f>ROUND((Q_TBL[[#This Row],[Variable2]]*(0.26/24)*0.2)/(0.4*0.15)*0.76,3)</f>
        <v>0</v>
      </c>
      <c r="O27" s="64"/>
      <c r="P27" s="50">
        <f>Q_TBL[[#This Row],[Variable3]]</f>
        <v>0</v>
      </c>
      <c r="Q27" s="50" t="s">
        <v>34</v>
      </c>
      <c r="R27" s="213"/>
      <c r="S27" s="214"/>
      <c r="T27" s="34" t="s">
        <v>82</v>
      </c>
      <c r="U27" s="50">
        <v>3</v>
      </c>
      <c r="V27" s="50">
        <f>Q_TBL[[#This Row],[Quantity]]/Q_TBL[[#This Row],[Production - units/ crewday]]</f>
        <v>0</v>
      </c>
    </row>
    <row r="28" spans="2:22">
      <c r="B28" s="47">
        <v>23</v>
      </c>
      <c r="C28" s="48"/>
      <c r="D28" s="49" t="s">
        <v>13</v>
      </c>
      <c r="E28" s="49" t="s">
        <v>152</v>
      </c>
      <c r="F28" s="18"/>
      <c r="G28" s="18"/>
      <c r="H28" s="42"/>
      <c r="I28" s="417"/>
      <c r="J28" s="50"/>
      <c r="K28" s="50"/>
      <c r="L28" s="50"/>
      <c r="M28" s="51"/>
      <c r="N28" s="50"/>
      <c r="O28" s="46"/>
      <c r="P28" s="50"/>
      <c r="Q28" s="50"/>
      <c r="R28" s="213"/>
      <c r="S28" s="214"/>
      <c r="T28" s="34"/>
      <c r="U28" s="50"/>
      <c r="V28" s="50"/>
    </row>
    <row r="29" spans="2:22" ht="72">
      <c r="B29" s="47">
        <v>24</v>
      </c>
      <c r="C29" s="48"/>
      <c r="D29" s="49"/>
      <c r="E29" s="49">
        <v>3.04</v>
      </c>
      <c r="F29" s="18" t="s">
        <v>339</v>
      </c>
      <c r="G29" s="18" t="s">
        <v>338</v>
      </c>
      <c r="H29" s="42"/>
      <c r="I29" s="417" t="str">
        <f>'Costing Questions'!B29&amp;", "&amp;'Costing Questions'!B30&amp;", "&amp;'Costing Questions'!B31</f>
        <v>11, 12, 13</v>
      </c>
      <c r="J29" s="53"/>
      <c r="K29" s="53"/>
      <c r="L29" s="65">
        <f>L31</f>
        <v>0</v>
      </c>
      <c r="M29" s="65">
        <f>K31</f>
        <v>0</v>
      </c>
      <c r="N29" s="65">
        <f>ROUND(P27*2.05,3)</f>
        <v>0</v>
      </c>
      <c r="O29" s="46"/>
      <c r="P29" s="50">
        <f>SUM(Q_TBL[[#This Row],[Variable1]:[Variable3]])</f>
        <v>0</v>
      </c>
      <c r="Q29" s="50" t="s">
        <v>38</v>
      </c>
      <c r="R29" s="213"/>
      <c r="S29" s="214"/>
      <c r="T29" s="34"/>
      <c r="U29" s="50"/>
      <c r="V29" s="50"/>
    </row>
    <row r="30" spans="2:22" ht="96">
      <c r="B30" s="47">
        <v>25</v>
      </c>
      <c r="C30" s="48"/>
      <c r="D30" s="49"/>
      <c r="E30" s="49">
        <v>3.05</v>
      </c>
      <c r="F30" s="18" t="s">
        <v>330</v>
      </c>
      <c r="G30" s="15" t="s">
        <v>340</v>
      </c>
      <c r="H30" s="42"/>
      <c r="I30" s="417">
        <f>'Costing Questions'!B29</f>
        <v>11</v>
      </c>
      <c r="J30" s="199">
        <f>'Costing Questions'!E$29</f>
        <v>0</v>
      </c>
      <c r="K30" s="53"/>
      <c r="L30" s="330">
        <f>0.1+0.01</f>
        <v>0.11</v>
      </c>
      <c r="M30" s="65">
        <f>ROUND(Q_TBL[[#This Row],[Information provided]]*Q_TBL[[#This Row],[Variable1]]/1000*0.832,3)</f>
        <v>0</v>
      </c>
      <c r="N30" s="65"/>
      <c r="O30" s="66"/>
      <c r="P30" s="50">
        <f>Q_TBL[[#This Row],[Variable2]]</f>
        <v>0</v>
      </c>
      <c r="Q30" s="50" t="s">
        <v>38</v>
      </c>
      <c r="R30" s="213"/>
      <c r="S30" s="214"/>
      <c r="T30" s="34"/>
      <c r="U30" s="50"/>
      <c r="V30" s="50"/>
    </row>
    <row r="31" spans="2:22" ht="60">
      <c r="B31" s="47">
        <v>26</v>
      </c>
      <c r="C31" s="48"/>
      <c r="D31" s="49"/>
      <c r="E31" s="49">
        <v>3.06</v>
      </c>
      <c r="F31" s="18" t="s">
        <v>157</v>
      </c>
      <c r="G31" s="18" t="s">
        <v>341</v>
      </c>
      <c r="H31" s="42"/>
      <c r="I31" s="417" t="str">
        <f>'Costing Questions'!B30&amp;", "&amp;'Costing Questions'!B31</f>
        <v>12, 13</v>
      </c>
      <c r="J31" s="443">
        <f>'Costing Questions'!E$30</f>
        <v>0</v>
      </c>
      <c r="K31" s="197">
        <f>'Costing Questions'!E$31</f>
        <v>0</v>
      </c>
      <c r="L31" s="65">
        <f>ROUND(Q_TBL[[#This Row],[Information provided]]*20/1000,3)</f>
        <v>0</v>
      </c>
      <c r="M31" s="60"/>
      <c r="N31" s="53"/>
      <c r="O31" s="67"/>
      <c r="P31" s="50">
        <f>SUM(Q_TBL[[#This Row],[True/ False]:[Variable1]])</f>
        <v>0</v>
      </c>
      <c r="Q31" s="50" t="s">
        <v>38</v>
      </c>
      <c r="R31" s="213"/>
      <c r="S31" s="214"/>
      <c r="T31" s="34"/>
      <c r="U31" s="50"/>
      <c r="V31" s="50"/>
    </row>
    <row r="32" spans="2:22" ht="36">
      <c r="B32" s="47">
        <v>27</v>
      </c>
      <c r="C32" s="48"/>
      <c r="D32" s="49"/>
      <c r="E32" s="49">
        <v>3.07</v>
      </c>
      <c r="F32" s="18" t="s">
        <v>155</v>
      </c>
      <c r="G32" s="18" t="s">
        <v>153</v>
      </c>
      <c r="H32" s="42"/>
      <c r="I32" s="417">
        <f>'Costing Questions'!B29</f>
        <v>11</v>
      </c>
      <c r="J32" s="53"/>
      <c r="K32" s="53"/>
      <c r="L32" s="65">
        <f>ROUND(P27*2.05,3)</f>
        <v>0</v>
      </c>
      <c r="M32" s="53"/>
      <c r="N32" s="53"/>
      <c r="O32" s="67"/>
      <c r="P32" s="50">
        <f>Q_TBL[[#This Row],[Variable1]]</f>
        <v>0</v>
      </c>
      <c r="Q32" s="50" t="s">
        <v>38</v>
      </c>
      <c r="R32" s="213"/>
      <c r="S32" s="214"/>
      <c r="T32" s="34"/>
      <c r="U32" s="50"/>
      <c r="V32" s="50"/>
    </row>
    <row r="33" spans="2:22" ht="36">
      <c r="B33" s="47">
        <v>28</v>
      </c>
      <c r="C33" s="48"/>
      <c r="D33" s="49"/>
      <c r="E33" s="49">
        <v>3.08</v>
      </c>
      <c r="F33" s="18" t="s">
        <v>156</v>
      </c>
      <c r="G33" s="18" t="s">
        <v>154</v>
      </c>
      <c r="H33" s="42"/>
      <c r="I33" s="417">
        <f>'Costing Questions'!B29</f>
        <v>11</v>
      </c>
      <c r="J33" s="53"/>
      <c r="K33" s="53"/>
      <c r="L33" s="62">
        <f>ROUND(J30*L30,1)</f>
        <v>0</v>
      </c>
      <c r="M33" s="62"/>
      <c r="N33" s="53"/>
      <c r="O33" s="67"/>
      <c r="P33" s="50">
        <f>SUM(Q_TBL[[#This Row],[Information provided]:[Variable2]])</f>
        <v>0</v>
      </c>
      <c r="Q33" s="50" t="s">
        <v>37</v>
      </c>
      <c r="R33" s="213"/>
      <c r="S33" s="214"/>
      <c r="T33" s="34"/>
      <c r="U33" s="50"/>
      <c r="V33" s="50"/>
    </row>
    <row r="34" spans="2:22">
      <c r="B34" s="47">
        <v>29</v>
      </c>
      <c r="C34" s="48">
        <v>4</v>
      </c>
      <c r="D34" s="49" t="s">
        <v>117</v>
      </c>
      <c r="E34" s="49"/>
      <c r="F34" s="18"/>
      <c r="G34" s="18"/>
      <c r="H34" s="42"/>
      <c r="I34" s="417"/>
      <c r="J34" s="50"/>
      <c r="K34" s="50"/>
      <c r="L34" s="50"/>
      <c r="M34" s="51"/>
      <c r="N34" s="50"/>
      <c r="O34" s="46"/>
      <c r="P34" s="50"/>
      <c r="Q34" s="50"/>
      <c r="R34" s="213"/>
      <c r="S34" s="214"/>
      <c r="T34" s="34"/>
      <c r="U34" s="50"/>
      <c r="V34" s="50"/>
    </row>
    <row r="35" spans="2:22">
      <c r="B35" s="47">
        <v>30</v>
      </c>
      <c r="C35" s="48"/>
      <c r="D35" s="49" t="s">
        <v>11</v>
      </c>
      <c r="E35" s="49" t="s">
        <v>20</v>
      </c>
      <c r="F35" s="18"/>
      <c r="G35" s="18"/>
      <c r="H35" s="42"/>
      <c r="I35" s="417"/>
      <c r="J35" s="50"/>
      <c r="K35" s="50"/>
      <c r="L35" s="50"/>
      <c r="M35" s="51"/>
      <c r="N35" s="50"/>
      <c r="O35" s="46"/>
      <c r="P35" s="50"/>
      <c r="Q35" s="50"/>
      <c r="R35" s="213"/>
      <c r="S35" s="214"/>
      <c r="T35" s="34"/>
      <c r="U35" s="50"/>
      <c r="V35" s="50"/>
    </row>
    <row r="36" spans="2:22" ht="84">
      <c r="B36" s="47">
        <v>31</v>
      </c>
      <c r="C36" s="48"/>
      <c r="D36" s="49"/>
      <c r="E36" s="49">
        <v>4.01</v>
      </c>
      <c r="F36" s="18" t="s">
        <v>250</v>
      </c>
      <c r="G36" s="18" t="s">
        <v>342</v>
      </c>
      <c r="H36" s="42"/>
      <c r="I36" s="417"/>
      <c r="J36" s="53"/>
      <c r="K36" s="50" t="b">
        <f>'Costing Questions'!E14&gt;0</f>
        <v>0</v>
      </c>
      <c r="L36" s="60">
        <v>1</v>
      </c>
      <c r="M36" s="53" t="s">
        <v>59</v>
      </c>
      <c r="N36" s="53"/>
      <c r="O36" s="46"/>
      <c r="P36" s="50" t="str">
        <f>IF(Q_TBL[[#This Row],[True/ False]]=TRUE,Q_TBL[[#This Row],[Variable1]],Q_TBL[[#This Row],[Variable2]])</f>
        <v>No Work</v>
      </c>
      <c r="Q36" s="50" t="s">
        <v>174</v>
      </c>
      <c r="R36" s="213"/>
      <c r="S36" s="214"/>
      <c r="T36" s="34"/>
      <c r="U36" s="50"/>
      <c r="V36" s="50"/>
    </row>
    <row r="37" spans="2:22">
      <c r="B37" s="47">
        <v>32</v>
      </c>
      <c r="C37" s="48"/>
      <c r="D37" s="49" t="s">
        <v>12</v>
      </c>
      <c r="E37" s="49" t="s">
        <v>116</v>
      </c>
      <c r="F37" s="18"/>
      <c r="G37" s="18"/>
      <c r="H37" s="42"/>
      <c r="I37" s="417"/>
      <c r="J37" s="50"/>
      <c r="K37" s="50"/>
      <c r="L37" s="50"/>
      <c r="M37" s="51"/>
      <c r="N37" s="50"/>
      <c r="O37" s="46"/>
      <c r="P37" s="50"/>
      <c r="Q37" s="50"/>
      <c r="R37" s="213"/>
      <c r="S37" s="214"/>
      <c r="T37" s="34"/>
      <c r="U37" s="50"/>
      <c r="V37" s="50"/>
    </row>
    <row r="38" spans="2:22" ht="48">
      <c r="B38" s="47">
        <v>33</v>
      </c>
      <c r="C38" s="48"/>
      <c r="D38" s="49"/>
      <c r="E38" s="49">
        <v>4.0199999999999996</v>
      </c>
      <c r="F38" s="18" t="s">
        <v>251</v>
      </c>
      <c r="G38" s="18" t="s">
        <v>343</v>
      </c>
      <c r="H38" s="42"/>
      <c r="I38" s="417">
        <f>'Costing Questions'!B34</f>
        <v>15</v>
      </c>
      <c r="J38" s="52">
        <f>'Costing Questions'!E$34</f>
        <v>0</v>
      </c>
      <c r="K38" s="53"/>
      <c r="L38" s="60">
        <v>1</v>
      </c>
      <c r="M38" s="53" t="s">
        <v>59</v>
      </c>
      <c r="N38" s="53"/>
      <c r="O38" s="46"/>
      <c r="P38" s="50" t="str">
        <f>IF(Q_TBL[[#This Row],[Information provided]]="Yes",Q_TBL[[#This Row],[Variable1]],Q_TBL[[#This Row],[Variable2]])</f>
        <v>No Work</v>
      </c>
      <c r="Q38" s="50" t="s">
        <v>174</v>
      </c>
      <c r="R38" s="213"/>
      <c r="S38" s="214"/>
      <c r="T38" s="34"/>
      <c r="U38" s="50"/>
      <c r="V38" s="50"/>
    </row>
    <row r="39" spans="2:22" ht="48">
      <c r="B39" s="47">
        <v>34</v>
      </c>
      <c r="C39" s="48"/>
      <c r="D39" s="49"/>
      <c r="E39" s="49">
        <v>4.03</v>
      </c>
      <c r="F39" s="18" t="s">
        <v>370</v>
      </c>
      <c r="G39" s="18" t="s">
        <v>344</v>
      </c>
      <c r="H39" s="42"/>
      <c r="I39" s="417">
        <f>'Costing Questions'!B33</f>
        <v>14</v>
      </c>
      <c r="J39" s="52">
        <f>'Costing Questions'!E$33</f>
        <v>0</v>
      </c>
      <c r="K39" s="53"/>
      <c r="L39" s="60">
        <v>1</v>
      </c>
      <c r="M39" s="53" t="s">
        <v>59</v>
      </c>
      <c r="N39" s="53"/>
      <c r="O39" s="46"/>
      <c r="P39" s="50" t="str">
        <f>IF(Q_TBL[[#This Row],[Information provided]]="Yes",Q_TBL[[#This Row],[Variable1]],Q_TBL[[#This Row],[Variable2]])</f>
        <v>No Work</v>
      </c>
      <c r="Q39" s="50" t="s">
        <v>174</v>
      </c>
      <c r="R39" s="213"/>
      <c r="S39" s="214"/>
      <c r="T39" s="34"/>
      <c r="U39" s="50"/>
      <c r="V39" s="50"/>
    </row>
    <row r="40" spans="2:22">
      <c r="B40" s="47">
        <v>35</v>
      </c>
      <c r="C40" s="48">
        <v>5</v>
      </c>
      <c r="D40" s="49" t="s">
        <v>163</v>
      </c>
      <c r="E40" s="49"/>
      <c r="F40" s="18"/>
      <c r="G40" s="18"/>
      <c r="H40" s="42"/>
      <c r="I40" s="417"/>
      <c r="J40" s="50"/>
      <c r="K40" s="50"/>
      <c r="L40" s="50"/>
      <c r="M40" s="51"/>
      <c r="N40" s="50"/>
      <c r="O40" s="46"/>
      <c r="P40" s="50"/>
      <c r="Q40" s="50"/>
      <c r="R40" s="213"/>
      <c r="S40" s="214"/>
      <c r="T40" s="34"/>
      <c r="U40" s="50"/>
      <c r="V40" s="50"/>
    </row>
    <row r="41" spans="2:22">
      <c r="B41" s="47">
        <v>36</v>
      </c>
      <c r="C41" s="48"/>
      <c r="D41" s="49" t="s">
        <v>11</v>
      </c>
      <c r="E41" s="49" t="s">
        <v>253</v>
      </c>
      <c r="F41" s="18"/>
      <c r="G41" s="18"/>
      <c r="H41" s="42"/>
      <c r="I41" s="417"/>
      <c r="J41" s="50"/>
      <c r="K41" s="50"/>
      <c r="L41" s="50"/>
      <c r="M41" s="51"/>
      <c r="N41" s="50"/>
      <c r="O41" s="46"/>
      <c r="P41" s="50"/>
      <c r="Q41" s="50"/>
      <c r="R41" s="213"/>
      <c r="S41" s="214"/>
      <c r="T41" s="34"/>
      <c r="U41" s="50"/>
      <c r="V41" s="50"/>
    </row>
    <row r="42" spans="2:22" ht="36">
      <c r="B42" s="47">
        <v>37</v>
      </c>
      <c r="C42" s="48"/>
      <c r="D42" s="49"/>
      <c r="E42" s="49">
        <v>5.01</v>
      </c>
      <c r="F42" s="18" t="s">
        <v>167</v>
      </c>
      <c r="G42" s="18" t="s">
        <v>397</v>
      </c>
      <c r="H42" s="42"/>
      <c r="I42" s="417">
        <f>'Costing Questions'!B17</f>
        <v>3</v>
      </c>
      <c r="J42" s="52">
        <f>'Costing Questions'!E$17</f>
        <v>0</v>
      </c>
      <c r="K42" s="53"/>
      <c r="L42" s="60" t="s">
        <v>22</v>
      </c>
      <c r="M42" s="53" t="s">
        <v>23</v>
      </c>
      <c r="N42" s="53" t="s">
        <v>59</v>
      </c>
      <c r="O42" s="46"/>
      <c r="P42" s="50" t="str">
        <f>IF(Q_TBL[[#This Row],[Information provided]]="Yes",Q_TBL[[#This Row],[Variable1]],Q_TBL[[#This Row],[Variable2]])</f>
        <v>No</v>
      </c>
      <c r="Q42" s="50" t="s">
        <v>310</v>
      </c>
      <c r="R42" s="213"/>
      <c r="S42" s="214"/>
      <c r="T42" s="34"/>
      <c r="U42" s="50"/>
      <c r="V42" s="50"/>
    </row>
    <row r="43" spans="2:22" ht="24">
      <c r="B43" s="47">
        <v>38</v>
      </c>
      <c r="C43" s="48"/>
      <c r="D43" s="49"/>
      <c r="E43" s="49">
        <v>5.0199999999999996</v>
      </c>
      <c r="F43" s="18" t="s">
        <v>252</v>
      </c>
      <c r="G43" s="18" t="s">
        <v>345</v>
      </c>
      <c r="H43" s="42"/>
      <c r="I43" s="417" t="str">
        <f>'Costing Questions'!B23&amp;", "&amp;'Costing Questions'!B24</f>
        <v>7, 8</v>
      </c>
      <c r="J43" s="200">
        <f>'Costing Questions'!E$24</f>
        <v>0</v>
      </c>
      <c r="K43" s="53" t="b">
        <f>OR('Costing Questions'!E23='SYS_ Gen'!F13,'Costing Questions'!E23='SYS_ Gen'!F14)</f>
        <v>0</v>
      </c>
      <c r="L43" s="53"/>
      <c r="M43" s="53"/>
      <c r="N43" s="53"/>
      <c r="O43" s="46"/>
      <c r="P43" s="50" t="str">
        <f>IF(AND(P$42="Yes",Q_TBL[[#This Row],[True/ False]]=TRUE),Q_TBL[[#This Row],[Information provided]],N$42)</f>
        <v>No Work</v>
      </c>
      <c r="Q43" s="50" t="s">
        <v>28</v>
      </c>
      <c r="R43" s="213"/>
      <c r="S43" s="214"/>
      <c r="T43" s="34"/>
      <c r="U43" s="50"/>
      <c r="V43" s="50"/>
    </row>
    <row r="44" spans="2:22" ht="60">
      <c r="B44" s="47">
        <v>39</v>
      </c>
      <c r="C44" s="48"/>
      <c r="D44" s="49"/>
      <c r="E44" s="49">
        <v>5.0299999999999994</v>
      </c>
      <c r="F44" s="18" t="s">
        <v>254</v>
      </c>
      <c r="G44" s="18" t="s">
        <v>286</v>
      </c>
      <c r="H44" s="42"/>
      <c r="I44" s="417">
        <f>'Costing Questions'!B17</f>
        <v>3</v>
      </c>
      <c r="J44" s="53"/>
      <c r="K44" s="53"/>
      <c r="L44" s="65">
        <f>20+25+25+25</f>
        <v>95</v>
      </c>
      <c r="M44" s="53"/>
      <c r="N44" s="53"/>
      <c r="O44" s="66"/>
      <c r="P44" s="50" t="str">
        <f>IF(P$42="Yes",Q_TBL[[#This Row],[Variable1]],N$42)</f>
        <v>No Work</v>
      </c>
      <c r="Q44" s="50" t="s">
        <v>27</v>
      </c>
      <c r="R44" s="213"/>
      <c r="S44" s="214"/>
      <c r="T44" s="34"/>
      <c r="U44" s="50"/>
      <c r="V44" s="50"/>
    </row>
    <row r="45" spans="2:22" ht="36">
      <c r="B45" s="47">
        <v>40</v>
      </c>
      <c r="C45" s="48"/>
      <c r="D45" s="49"/>
      <c r="E45" s="49">
        <v>5.0399999999999991</v>
      </c>
      <c r="F45" s="18" t="s">
        <v>255</v>
      </c>
      <c r="G45" s="18" t="s">
        <v>346</v>
      </c>
      <c r="H45" s="42"/>
      <c r="I45" s="417">
        <f>'Costing Questions'!B17</f>
        <v>3</v>
      </c>
      <c r="J45" s="53"/>
      <c r="K45" s="53"/>
      <c r="L45" s="53">
        <v>4</v>
      </c>
      <c r="M45" s="326">
        <v>100</v>
      </c>
      <c r="N45" s="325">
        <f>ROUND(4*100*ROUNDUP(SUM(V9:V10),0)/1000*0.832,3)</f>
        <v>0</v>
      </c>
      <c r="O45" s="46"/>
      <c r="P45" s="50" t="str">
        <f>IF(P$42="Yes",Q_TBL[[#This Row],[Variable3]],N$42)</f>
        <v>No Work</v>
      </c>
      <c r="Q45" s="50" t="s">
        <v>27</v>
      </c>
      <c r="R45" s="213"/>
      <c r="S45" s="214"/>
      <c r="T45" s="34"/>
      <c r="U45" s="50"/>
      <c r="V45" s="50"/>
    </row>
    <row r="46" spans="2:22" ht="36">
      <c r="B46" s="47">
        <v>41</v>
      </c>
      <c r="C46" s="48"/>
      <c r="D46" s="49"/>
      <c r="E46" s="49">
        <v>5.0499999999999989</v>
      </c>
      <c r="F46" s="18" t="s">
        <v>256</v>
      </c>
      <c r="G46" s="21" t="s">
        <v>175</v>
      </c>
      <c r="H46" s="42"/>
      <c r="I46" s="417">
        <f>'Costing Questions'!B17</f>
        <v>3</v>
      </c>
      <c r="J46" s="53"/>
      <c r="K46" s="53"/>
      <c r="L46" s="331">
        <f>'Unit Rates Worksheet'!S$41</f>
        <v>0.1</v>
      </c>
      <c r="M46" s="53"/>
      <c r="N46" s="53"/>
      <c r="O46" s="46"/>
      <c r="P46" s="50" t="str">
        <f>IF(P$42="Yes",Q_TBL[[#This Row],[Variable1]],N$42)</f>
        <v>No Work</v>
      </c>
      <c r="Q46" s="50" t="s">
        <v>36</v>
      </c>
      <c r="R46" s="213"/>
      <c r="S46" s="214"/>
      <c r="T46" s="34"/>
      <c r="U46" s="50"/>
      <c r="V46" s="50"/>
    </row>
    <row r="47" spans="2:22">
      <c r="B47" s="47">
        <v>42</v>
      </c>
      <c r="C47" s="48"/>
      <c r="D47" s="49" t="s">
        <v>12</v>
      </c>
      <c r="E47" s="49" t="s">
        <v>164</v>
      </c>
      <c r="F47" s="18"/>
      <c r="G47" s="18"/>
      <c r="H47" s="42"/>
      <c r="I47" s="417"/>
      <c r="J47" s="50"/>
      <c r="K47" s="50"/>
      <c r="L47" s="50"/>
      <c r="M47" s="51"/>
      <c r="N47" s="50"/>
      <c r="O47" s="46"/>
      <c r="P47" s="50"/>
      <c r="Q47" s="50"/>
      <c r="R47" s="213"/>
      <c r="S47" s="214"/>
      <c r="T47" s="34"/>
      <c r="U47" s="50"/>
      <c r="V47" s="50"/>
    </row>
    <row r="48" spans="2:22" ht="72">
      <c r="B48" s="47">
        <v>43</v>
      </c>
      <c r="C48" s="48"/>
      <c r="D48" s="49"/>
      <c r="E48" s="49">
        <v>5.0599999999999996</v>
      </c>
      <c r="F48" s="18" t="s">
        <v>257</v>
      </c>
      <c r="G48" s="18" t="s">
        <v>367</v>
      </c>
      <c r="H48" s="42"/>
      <c r="I48" s="417"/>
      <c r="J48" s="53"/>
      <c r="K48" s="53"/>
      <c r="L48" s="53">
        <v>6</v>
      </c>
      <c r="M48" s="69">
        <f>125</f>
        <v>125</v>
      </c>
      <c r="N48" s="53"/>
      <c r="O48" s="46"/>
      <c r="P48" s="50">
        <f>PRODUCT(Q_TBL[[#This Row],[Variable1]:[Variable2]])</f>
        <v>750</v>
      </c>
      <c r="Q48" s="50" t="s">
        <v>35</v>
      </c>
      <c r="R48" s="213"/>
      <c r="S48" s="214"/>
      <c r="T48" s="34"/>
      <c r="U48" s="50"/>
      <c r="V48" s="50"/>
    </row>
    <row r="49" spans="2:22" ht="24">
      <c r="B49" s="47">
        <v>44</v>
      </c>
      <c r="C49" s="48"/>
      <c r="D49" s="49"/>
      <c r="E49" s="49">
        <v>5.07</v>
      </c>
      <c r="F49" s="18" t="s">
        <v>258</v>
      </c>
      <c r="G49" s="18" t="s">
        <v>39</v>
      </c>
      <c r="H49" s="42"/>
      <c r="I49" s="417">
        <f>'Costing Questions'!B17</f>
        <v>3</v>
      </c>
      <c r="J49" s="53"/>
      <c r="K49" s="53" t="b">
        <f>J42="Yes"</f>
        <v>0</v>
      </c>
      <c r="L49" s="60">
        <v>4</v>
      </c>
      <c r="M49" s="69">
        <f>M48</f>
        <v>125</v>
      </c>
      <c r="N49" s="324">
        <v>0</v>
      </c>
      <c r="O49" s="70"/>
      <c r="P49" s="50">
        <f>IF(Q_TBL[[#This Row],[True/ False]]=TRUE,PRODUCT(Q_TBL[[#This Row],[Variable1]:[Variable2]]),N49)</f>
        <v>0</v>
      </c>
      <c r="Q49" s="50" t="s">
        <v>35</v>
      </c>
      <c r="R49" s="213"/>
      <c r="S49" s="214"/>
      <c r="T49" s="34"/>
      <c r="U49" s="50"/>
      <c r="V49" s="50"/>
    </row>
    <row r="50" spans="2:22" ht="252">
      <c r="B50" s="47">
        <v>45</v>
      </c>
      <c r="C50" s="48"/>
      <c r="D50" s="49"/>
      <c r="E50" s="49">
        <v>5.08</v>
      </c>
      <c r="F50" s="18" t="s">
        <v>84</v>
      </c>
      <c r="G50" s="18" t="s">
        <v>368</v>
      </c>
      <c r="H50" s="42"/>
      <c r="I50" s="417"/>
      <c r="J50" s="53"/>
      <c r="K50" s="53" t="b">
        <f>K56</f>
        <v>0</v>
      </c>
      <c r="L50" s="69">
        <f>2000+1500+1000+1000</f>
        <v>5500</v>
      </c>
      <c r="M50" s="69">
        <f>IF(K49=TRUE,500+500+500,0)</f>
        <v>0</v>
      </c>
      <c r="N50" s="324" t="s">
        <v>59</v>
      </c>
      <c r="O50" s="46"/>
      <c r="P50" s="50" t="str">
        <f>IF(Q_TBL[[#This Row],[True/ False]]=TRUE,SUM(Q_TBL[[#This Row],[Variable1]:[Variable2]]),Q_TBL[[#This Row],[Variable3]])</f>
        <v>No Work</v>
      </c>
      <c r="Q50" s="50" t="s">
        <v>35</v>
      </c>
      <c r="R50" s="213"/>
      <c r="S50" s="214"/>
      <c r="T50" s="34"/>
      <c r="U50" s="50"/>
      <c r="V50" s="50"/>
    </row>
    <row r="51" spans="2:22" ht="36">
      <c r="B51" s="47">
        <v>46</v>
      </c>
      <c r="C51" s="48"/>
      <c r="D51" s="49"/>
      <c r="E51" s="49" t="s">
        <v>178</v>
      </c>
      <c r="F51" s="18" t="s">
        <v>259</v>
      </c>
      <c r="G51" s="18"/>
      <c r="H51" s="42"/>
      <c r="I51" s="417"/>
      <c r="J51" s="53"/>
      <c r="K51" s="72" t="b">
        <f>K56=FALSE</f>
        <v>1</v>
      </c>
      <c r="L51" s="72">
        <f>IF(M57&gt;2,M57,0)</f>
        <v>0</v>
      </c>
      <c r="M51" s="60"/>
      <c r="N51" s="69"/>
      <c r="O51" s="46"/>
      <c r="P51" s="50">
        <f>IF(Q_TBL[[#This Row],[True/ False]]=TRUE,Q_TBL[[#This Row],[Variable1]],N50)</f>
        <v>0</v>
      </c>
      <c r="Q51" s="50" t="s">
        <v>83</v>
      </c>
      <c r="R51" s="213"/>
      <c r="S51" s="214"/>
      <c r="T51" s="34"/>
      <c r="U51" s="50"/>
      <c r="V51" s="50"/>
    </row>
    <row r="52" spans="2:22" ht="24">
      <c r="B52" s="47">
        <v>47</v>
      </c>
      <c r="C52" s="48"/>
      <c r="D52" s="49"/>
      <c r="E52" s="49">
        <v>5.09</v>
      </c>
      <c r="F52" s="18" t="s">
        <v>260</v>
      </c>
      <c r="G52" s="18"/>
      <c r="H52" s="42"/>
      <c r="I52" s="417">
        <f>'Costing Questions'!B17</f>
        <v>3</v>
      </c>
      <c r="J52" s="53"/>
      <c r="K52" s="53"/>
      <c r="L52" s="69">
        <f>P48</f>
        <v>750</v>
      </c>
      <c r="M52" s="69">
        <f>P49</f>
        <v>0</v>
      </c>
      <c r="N52" s="53"/>
      <c r="O52" s="46"/>
      <c r="P52" s="50">
        <f>SUM(Q_TBL[[#This Row],[Variable1]:[Variable2]])</f>
        <v>750</v>
      </c>
      <c r="Q52" s="50" t="s">
        <v>35</v>
      </c>
      <c r="R52" s="213"/>
      <c r="S52" s="214"/>
      <c r="T52" s="34"/>
      <c r="U52" s="50"/>
      <c r="V52" s="50"/>
    </row>
    <row r="53" spans="2:22" ht="72">
      <c r="B53" s="47">
        <v>48</v>
      </c>
      <c r="C53" s="48"/>
      <c r="D53" s="49"/>
      <c r="E53" s="49">
        <v>5.0999999999999996</v>
      </c>
      <c r="F53" s="18" t="s">
        <v>261</v>
      </c>
      <c r="G53" s="18" t="s">
        <v>281</v>
      </c>
      <c r="H53" s="42"/>
      <c r="I53" s="417"/>
      <c r="J53" s="53"/>
      <c r="K53" s="53" t="b">
        <f>K56</f>
        <v>0</v>
      </c>
      <c r="L53" s="69">
        <f>2000+1000</f>
        <v>3000</v>
      </c>
      <c r="M53" s="69">
        <f>IF(K49=TRUE,500,0)</f>
        <v>0</v>
      </c>
      <c r="N53" s="69"/>
      <c r="O53" s="46"/>
      <c r="P53" s="50">
        <f>IF(Q_TBL[[#This Row],[Variable1]]=TRUE,Q_TBL[[#This Row],[Variable2]]+Q_TBL[[#This Row],[Variable3]],N51)</f>
        <v>0</v>
      </c>
      <c r="Q53" s="50" t="s">
        <v>35</v>
      </c>
      <c r="R53" s="213"/>
      <c r="S53" s="214"/>
      <c r="T53" s="34"/>
      <c r="U53" s="50"/>
      <c r="V53" s="50"/>
    </row>
    <row r="54" spans="2:22" ht="36">
      <c r="B54" s="47">
        <v>49</v>
      </c>
      <c r="C54" s="48"/>
      <c r="D54" s="49"/>
      <c r="E54" s="49">
        <v>5.1100000000000003</v>
      </c>
      <c r="F54" s="18" t="s">
        <v>256</v>
      </c>
      <c r="G54" s="21" t="s">
        <v>175</v>
      </c>
      <c r="H54" s="42"/>
      <c r="I54" s="417"/>
      <c r="J54" s="53"/>
      <c r="K54" s="53"/>
      <c r="L54" s="331">
        <f>'Unit Rates Worksheet'!S$41</f>
        <v>0.1</v>
      </c>
      <c r="M54" s="60"/>
      <c r="N54" s="53"/>
      <c r="O54" s="46"/>
      <c r="P54" s="50">
        <f>Q_TBL[[#This Row],[Variable1]]</f>
        <v>0.1</v>
      </c>
      <c r="Q54" s="50" t="s">
        <v>36</v>
      </c>
      <c r="R54" s="213"/>
      <c r="S54" s="214"/>
      <c r="T54" s="34"/>
      <c r="U54" s="50"/>
      <c r="V54" s="50"/>
    </row>
    <row r="55" spans="2:22">
      <c r="B55" s="47">
        <v>50</v>
      </c>
      <c r="C55" s="48"/>
      <c r="D55" s="49" t="s">
        <v>13</v>
      </c>
      <c r="E55" s="49" t="s">
        <v>165</v>
      </c>
      <c r="F55" s="18"/>
      <c r="G55" s="18"/>
      <c r="H55" s="42"/>
      <c r="I55" s="417"/>
      <c r="J55" s="50"/>
      <c r="K55" s="50"/>
      <c r="L55" s="50"/>
      <c r="M55" s="51"/>
      <c r="N55" s="50"/>
      <c r="O55" s="46"/>
      <c r="P55" s="50"/>
      <c r="Q55" s="50"/>
      <c r="R55" s="213"/>
      <c r="S55" s="214"/>
      <c r="T55" s="34"/>
      <c r="U55" s="50"/>
      <c r="V55" s="50"/>
    </row>
    <row r="56" spans="2:22" ht="48">
      <c r="B56" s="47">
        <v>51</v>
      </c>
      <c r="C56" s="48"/>
      <c r="D56" s="49"/>
      <c r="E56" s="49">
        <v>5.12</v>
      </c>
      <c r="F56" s="18" t="s">
        <v>168</v>
      </c>
      <c r="G56" s="18" t="s">
        <v>347</v>
      </c>
      <c r="H56" s="42"/>
      <c r="I56" s="417">
        <f>'Costing Questions'!B14</f>
        <v>1</v>
      </c>
      <c r="J56" s="200">
        <f>'Costing Questions'!E$14</f>
        <v>0</v>
      </c>
      <c r="K56" s="53" t="b">
        <f>AND(Q_TBL[[#This Row],[Information provided]]&gt;0,M57&gt;Q_TBL[[#This Row],[Variable1]])</f>
        <v>0</v>
      </c>
      <c r="L56" s="73">
        <v>7</v>
      </c>
      <c r="M56" s="53">
        <v>1</v>
      </c>
      <c r="N56" s="324" t="s">
        <v>59</v>
      </c>
      <c r="O56" s="46"/>
      <c r="P56" s="50" t="str">
        <f>IF(Q_TBL[[#This Row],[True/ False]]=TRUE,Q_TBL[[#This Row],[Variable2]],Q_TBL[[#This Row],[Variable3]])</f>
        <v>No Work</v>
      </c>
      <c r="Q56" s="50" t="s">
        <v>285</v>
      </c>
      <c r="R56" s="213"/>
      <c r="S56" s="214"/>
      <c r="T56" s="34"/>
      <c r="U56" s="50"/>
      <c r="V56" s="50"/>
    </row>
    <row r="57" spans="2:22" ht="48">
      <c r="B57" s="47">
        <v>52</v>
      </c>
      <c r="C57" s="48"/>
      <c r="D57" s="49"/>
      <c r="E57" s="49">
        <v>5.13</v>
      </c>
      <c r="F57" s="18" t="s">
        <v>262</v>
      </c>
      <c r="G57" s="18" t="s">
        <v>348</v>
      </c>
      <c r="H57" s="42"/>
      <c r="I57" s="417"/>
      <c r="J57" s="53"/>
      <c r="K57" s="53"/>
      <c r="L57" s="74">
        <f>L48+IF(K49=TRUE,L49,0)</f>
        <v>6</v>
      </c>
      <c r="M57" s="327">
        <f>ROUNDUP(MAX(SUM(V11:V33),SUM(V6:V10))*1.1,0)</f>
        <v>0</v>
      </c>
      <c r="N57" s="53"/>
      <c r="O57" s="46"/>
      <c r="P57" s="50">
        <f>PRODUCT(Q_TBL[[#This Row],[Variable1]:[Variable2]])</f>
        <v>0</v>
      </c>
      <c r="Q57" s="50" t="s">
        <v>50</v>
      </c>
      <c r="R57" s="213"/>
      <c r="S57" s="214"/>
      <c r="T57" s="34"/>
      <c r="U57" s="50"/>
      <c r="V57" s="50"/>
    </row>
    <row r="58" spans="2:22">
      <c r="B58" s="47">
        <v>53</v>
      </c>
      <c r="C58" s="48"/>
      <c r="D58" s="49" t="s">
        <v>14</v>
      </c>
      <c r="E58" s="49" t="s">
        <v>166</v>
      </c>
      <c r="F58" s="18"/>
      <c r="G58" s="18"/>
      <c r="H58" s="42"/>
      <c r="I58" s="417"/>
      <c r="J58" s="50"/>
      <c r="K58" s="50"/>
      <c r="L58" s="50"/>
      <c r="M58" s="51"/>
      <c r="N58" s="50"/>
      <c r="O58" s="46"/>
      <c r="P58" s="50"/>
      <c r="Q58" s="50"/>
      <c r="R58" s="213"/>
      <c r="S58" s="214"/>
      <c r="T58" s="34"/>
      <c r="U58" s="50"/>
      <c r="V58" s="50"/>
    </row>
    <row r="59" spans="2:22">
      <c r="B59" s="47">
        <v>54</v>
      </c>
      <c r="C59" s="48"/>
      <c r="D59" s="49"/>
      <c r="E59" s="49">
        <v>5.14</v>
      </c>
      <c r="F59" s="18" t="s">
        <v>263</v>
      </c>
      <c r="G59" s="18" t="s">
        <v>349</v>
      </c>
      <c r="H59" s="42"/>
      <c r="I59" s="417">
        <f>'Costing Questions'!B15</f>
        <v>2</v>
      </c>
      <c r="J59" s="190">
        <f>'Costing Questions'!E$15</f>
        <v>0</v>
      </c>
      <c r="K59" s="53"/>
      <c r="L59" s="50" t="s">
        <v>22</v>
      </c>
      <c r="M59" s="50" t="s">
        <v>23</v>
      </c>
      <c r="N59" s="324" t="s">
        <v>59</v>
      </c>
      <c r="O59" s="46"/>
      <c r="P59" s="50">
        <f>IF(Q_TBL[[#This Row],[Information provided]]="No",Q_TBL[[#This Row],[Variable2]],Q_TBL[[#This Row],[Information provided]])</f>
        <v>0</v>
      </c>
      <c r="Q59" s="50" t="s">
        <v>310</v>
      </c>
      <c r="R59" s="213"/>
      <c r="S59" s="214"/>
      <c r="T59" s="34"/>
      <c r="U59" s="50"/>
      <c r="V59" s="50"/>
    </row>
    <row r="60" spans="2:22" ht="36">
      <c r="B60" s="47">
        <v>55</v>
      </c>
      <c r="C60" s="48"/>
      <c r="D60" s="49"/>
      <c r="E60" s="49">
        <v>5.15</v>
      </c>
      <c r="F60" s="18" t="s">
        <v>264</v>
      </c>
      <c r="G60" s="18" t="s">
        <v>345</v>
      </c>
      <c r="H60" s="42"/>
      <c r="I60" s="417" t="str">
        <f>'Costing Questions'!B23&amp;", "&amp;'Costing Questions'!B24</f>
        <v>7, 8</v>
      </c>
      <c r="J60" s="200">
        <f>'Costing Questions'!E$24</f>
        <v>0</v>
      </c>
      <c r="K60" s="60" t="b">
        <f>OR('Costing Questions'!E23='SYS_ Gen'!F13,'Costing Questions'!E23='SYS_ Gen'!F14)</f>
        <v>0</v>
      </c>
      <c r="L60" s="53"/>
      <c r="M60" s="53"/>
      <c r="N60" s="53"/>
      <c r="O60" s="46"/>
      <c r="P60" s="50" t="str">
        <f>IF(Q_TBL[[#This Row],[True/ False]]=TRUE,Q_TBL[[#This Row],[Information provided]],N59)</f>
        <v>No Work</v>
      </c>
      <c r="Q60" s="50" t="s">
        <v>28</v>
      </c>
      <c r="R60" s="213"/>
      <c r="S60" s="214"/>
      <c r="T60" s="34"/>
      <c r="U60" s="50"/>
      <c r="V60" s="50"/>
    </row>
    <row r="61" spans="2:22" ht="60">
      <c r="B61" s="47">
        <v>56</v>
      </c>
      <c r="C61" s="48"/>
      <c r="D61" s="49"/>
      <c r="E61" s="49">
        <v>5.16</v>
      </c>
      <c r="F61" s="18" t="s">
        <v>265</v>
      </c>
      <c r="G61" s="18" t="s">
        <v>350</v>
      </c>
      <c r="H61" s="42"/>
      <c r="I61" s="417" t="str">
        <f>'Costing Questions'!B21&amp;", "&amp;'Costing Questions'!B27&amp;", "&amp;'Costing Questions'!B29&amp;", "&amp;'Costing Questions'!B30&amp;", "&amp;'Costing Questions'!B31</f>
        <v>6, 10, 11, 12, 13</v>
      </c>
      <c r="J61" s="65"/>
      <c r="K61" s="53"/>
      <c r="L61" s="65">
        <f>P20</f>
        <v>0</v>
      </c>
      <c r="M61" s="65">
        <f>P29</f>
        <v>0</v>
      </c>
      <c r="N61" s="65">
        <f>P30</f>
        <v>0</v>
      </c>
      <c r="O61" s="66"/>
      <c r="P61" s="50">
        <f>SUM(Q_TBL[[#This Row],[Variable1]:[Variable3]])</f>
        <v>0</v>
      </c>
      <c r="Q61" s="50" t="s">
        <v>38</v>
      </c>
      <c r="R61" s="213"/>
      <c r="S61" s="214"/>
      <c r="T61" s="34"/>
      <c r="U61" s="50"/>
      <c r="V61" s="50"/>
    </row>
    <row r="62" spans="2:22" ht="36">
      <c r="B62" s="47">
        <v>57</v>
      </c>
      <c r="C62" s="48"/>
      <c r="D62" s="49"/>
      <c r="E62" s="49">
        <v>5.17</v>
      </c>
      <c r="F62" s="18" t="s">
        <v>158</v>
      </c>
      <c r="G62" s="18"/>
      <c r="H62" s="42"/>
      <c r="I62" s="417">
        <f>'Costing Questions'!B17</f>
        <v>3</v>
      </c>
      <c r="J62" s="53"/>
      <c r="K62" s="53" t="b">
        <f>J42="yes"</f>
        <v>0</v>
      </c>
      <c r="L62" s="65">
        <f>L44</f>
        <v>95</v>
      </c>
      <c r="M62" s="53"/>
      <c r="N62" s="53"/>
      <c r="O62" s="46"/>
      <c r="P62" s="50" t="str">
        <f>IF(Q_TBL[[#This Row],[True/ False]]=TRUE,Q_TBL[[#This Row],[Variable1]],N$59)</f>
        <v>No Work</v>
      </c>
      <c r="Q62" s="50" t="s">
        <v>27</v>
      </c>
      <c r="R62" s="213"/>
      <c r="S62" s="214"/>
      <c r="T62" s="34"/>
      <c r="U62" s="50"/>
      <c r="V62" s="50"/>
    </row>
    <row r="63" spans="2:22" ht="24">
      <c r="B63" s="47">
        <v>58</v>
      </c>
      <c r="C63" s="48"/>
      <c r="D63" s="49"/>
      <c r="E63" s="49">
        <v>5.18</v>
      </c>
      <c r="F63" s="18" t="s">
        <v>266</v>
      </c>
      <c r="G63" s="18"/>
      <c r="H63" s="42"/>
      <c r="I63" s="417">
        <f>'Costing Questions'!B17</f>
        <v>3</v>
      </c>
      <c r="J63" s="53"/>
      <c r="K63" s="53" t="b">
        <f>J42="yes"</f>
        <v>0</v>
      </c>
      <c r="L63" s="65">
        <f>ROUNDUP(N45/205*20/1000,3)</f>
        <v>0</v>
      </c>
      <c r="M63" s="53"/>
      <c r="N63" s="53"/>
      <c r="O63" s="46"/>
      <c r="P63" s="50" t="str">
        <f>IF(Q_TBL[[#This Row],[True/ False]]=TRUE,Q_TBL[[#This Row],[Variable1]],N$59)</f>
        <v>No Work</v>
      </c>
      <c r="Q63" s="50" t="s">
        <v>27</v>
      </c>
      <c r="R63" s="213"/>
      <c r="S63" s="214"/>
      <c r="T63" s="34"/>
      <c r="U63" s="50"/>
      <c r="V63" s="50"/>
    </row>
    <row r="64" spans="2:22" ht="36">
      <c r="B64" s="47">
        <v>59</v>
      </c>
      <c r="C64" s="48"/>
      <c r="D64" s="49"/>
      <c r="E64" s="49">
        <v>5.19</v>
      </c>
      <c r="F64" s="18" t="s">
        <v>256</v>
      </c>
      <c r="G64" s="21" t="s">
        <v>175</v>
      </c>
      <c r="H64" s="42"/>
      <c r="I64" s="417"/>
      <c r="J64" s="68"/>
      <c r="K64" s="53"/>
      <c r="L64" s="331">
        <f>'Unit Rates Worksheet'!S$41</f>
        <v>0.1</v>
      </c>
      <c r="M64" s="53"/>
      <c r="N64" s="53"/>
      <c r="O64" s="46"/>
      <c r="P64" s="50">
        <f>Q_TBL[[#This Row],[Variable1]]</f>
        <v>0.1</v>
      </c>
      <c r="Q64" s="50" t="s">
        <v>36</v>
      </c>
      <c r="R64" s="213"/>
      <c r="S64" s="214"/>
      <c r="T64" s="34"/>
      <c r="U64" s="50"/>
      <c r="V64" s="50"/>
    </row>
    <row r="65" spans="2:22">
      <c r="B65" s="47">
        <v>60</v>
      </c>
      <c r="C65" s="48">
        <v>6</v>
      </c>
      <c r="D65" s="49" t="s">
        <v>169</v>
      </c>
      <c r="E65" s="49"/>
      <c r="F65" s="18"/>
      <c r="G65" s="18"/>
      <c r="H65" s="42"/>
      <c r="I65" s="417"/>
      <c r="J65" s="50"/>
      <c r="K65" s="50"/>
      <c r="L65" s="50"/>
      <c r="M65" s="51"/>
      <c r="N65" s="50"/>
      <c r="O65" s="46"/>
      <c r="P65" s="50"/>
      <c r="Q65" s="50"/>
      <c r="R65" s="213"/>
      <c r="S65" s="214"/>
      <c r="T65" s="34"/>
      <c r="U65" s="50"/>
      <c r="V65" s="50"/>
    </row>
    <row r="66" spans="2:22">
      <c r="B66" s="47">
        <v>61</v>
      </c>
      <c r="C66" s="48"/>
      <c r="D66" s="49" t="s">
        <v>11</v>
      </c>
      <c r="E66" s="49" t="s">
        <v>18</v>
      </c>
      <c r="F66" s="18"/>
      <c r="G66" s="18"/>
      <c r="H66" s="42"/>
      <c r="I66" s="417"/>
      <c r="J66" s="50"/>
      <c r="K66" s="50"/>
      <c r="L66" s="50"/>
      <c r="M66" s="51"/>
      <c r="N66" s="50"/>
      <c r="O66" s="46"/>
      <c r="P66" s="50"/>
      <c r="Q66" s="50"/>
      <c r="R66" s="213"/>
      <c r="S66" s="214"/>
      <c r="T66" s="34"/>
      <c r="U66" s="50"/>
      <c r="V66" s="50"/>
    </row>
    <row r="67" spans="2:22" ht="60">
      <c r="B67" s="47">
        <v>62</v>
      </c>
      <c r="C67" s="48"/>
      <c r="D67" s="49"/>
      <c r="E67" s="49">
        <v>6.01</v>
      </c>
      <c r="F67" s="18" t="s">
        <v>267</v>
      </c>
      <c r="G67" s="18" t="s">
        <v>351</v>
      </c>
      <c r="H67" s="42"/>
      <c r="I67" s="417">
        <f>'Costing Questions'!B36</f>
        <v>16</v>
      </c>
      <c r="J67" s="52">
        <f>'Costing Questions'!E$36</f>
        <v>0</v>
      </c>
      <c r="K67" s="53"/>
      <c r="L67" s="60">
        <v>1</v>
      </c>
      <c r="M67" s="53" t="s">
        <v>59</v>
      </c>
      <c r="N67" s="53"/>
      <c r="O67" s="46"/>
      <c r="P67" s="50" t="str">
        <f>IF(Q_TBL[[#This Row],[Information provided]]="Yes",Q_TBL[[#This Row],[Variable1]],Q_TBL[[#This Row],[Variable2]])</f>
        <v>No Work</v>
      </c>
      <c r="Q67" s="50" t="s">
        <v>174</v>
      </c>
      <c r="R67" s="213"/>
      <c r="S67" s="214"/>
      <c r="T67" s="34"/>
      <c r="U67" s="50"/>
      <c r="V67" s="50"/>
    </row>
    <row r="68" spans="2:22">
      <c r="B68" s="47">
        <v>63</v>
      </c>
      <c r="C68" s="48"/>
      <c r="D68" s="49" t="s">
        <v>12</v>
      </c>
      <c r="E68" s="49" t="s">
        <v>19</v>
      </c>
      <c r="F68" s="18"/>
      <c r="G68" s="18"/>
      <c r="H68" s="42"/>
      <c r="I68" s="417"/>
      <c r="J68" s="50"/>
      <c r="K68" s="50"/>
      <c r="L68" s="50"/>
      <c r="M68" s="51"/>
      <c r="N68" s="50"/>
      <c r="O68" s="46"/>
      <c r="P68" s="50"/>
      <c r="Q68" s="50"/>
      <c r="R68" s="213"/>
      <c r="S68" s="214"/>
      <c r="T68" s="34"/>
      <c r="U68" s="50"/>
      <c r="V68" s="50"/>
    </row>
    <row r="69" spans="2:22" ht="48">
      <c r="B69" s="47">
        <v>64</v>
      </c>
      <c r="C69" s="48"/>
      <c r="D69" s="49"/>
      <c r="E69" s="49">
        <v>6.02</v>
      </c>
      <c r="F69" s="18" t="s">
        <v>268</v>
      </c>
      <c r="G69" s="18" t="s">
        <v>352</v>
      </c>
      <c r="H69" s="42"/>
      <c r="I69" s="417">
        <f>'Costing Questions'!B36</f>
        <v>16</v>
      </c>
      <c r="J69" s="52">
        <f>'Costing Questions'!E$36</f>
        <v>0</v>
      </c>
      <c r="K69" s="53"/>
      <c r="L69" s="60">
        <v>1</v>
      </c>
      <c r="M69" s="53" t="s">
        <v>59</v>
      </c>
      <c r="N69" s="53"/>
      <c r="O69" s="46"/>
      <c r="P69" s="50" t="str">
        <f>IF(Q_TBL[[#This Row],[Information provided]]="Yes",Q_TBL[[#This Row],[Variable1]],Q_TBL[[#This Row],[Variable2]])</f>
        <v>No Work</v>
      </c>
      <c r="Q69" s="50" t="s">
        <v>174</v>
      </c>
      <c r="R69" s="213"/>
      <c r="S69" s="214"/>
      <c r="T69" s="34"/>
      <c r="U69" s="50"/>
      <c r="V69" s="50"/>
    </row>
    <row r="70" spans="2:22">
      <c r="B70" s="47">
        <v>65</v>
      </c>
      <c r="C70" s="48"/>
      <c r="D70" s="49" t="s">
        <v>13</v>
      </c>
      <c r="E70" s="49" t="s">
        <v>289</v>
      </c>
      <c r="F70" s="18"/>
      <c r="G70" s="18"/>
      <c r="H70" s="42"/>
      <c r="I70" s="417"/>
      <c r="J70" s="50"/>
      <c r="K70" s="50"/>
      <c r="L70" s="50"/>
      <c r="M70" s="51"/>
      <c r="N70" s="50"/>
      <c r="O70" s="46"/>
      <c r="P70" s="50"/>
      <c r="Q70" s="50"/>
      <c r="R70" s="213"/>
      <c r="S70" s="214"/>
      <c r="T70" s="34"/>
      <c r="U70" s="50"/>
      <c r="V70" s="50"/>
    </row>
    <row r="71" spans="2:22" ht="36">
      <c r="B71" s="47">
        <v>66</v>
      </c>
      <c r="C71" s="48"/>
      <c r="D71" s="49"/>
      <c r="E71" s="49">
        <v>6.03</v>
      </c>
      <c r="F71" s="18" t="s">
        <v>269</v>
      </c>
      <c r="G71" s="18" t="s">
        <v>353</v>
      </c>
      <c r="H71" s="42"/>
      <c r="I71" s="417">
        <f>'Costing Questions'!B36</f>
        <v>16</v>
      </c>
      <c r="J71" s="52">
        <f>'Costing Questions'!E$36</f>
        <v>0</v>
      </c>
      <c r="K71" s="53"/>
      <c r="L71" s="60">
        <v>1</v>
      </c>
      <c r="M71" s="53" t="s">
        <v>59</v>
      </c>
      <c r="N71" s="53"/>
      <c r="O71" s="46"/>
      <c r="P71" s="50" t="str">
        <f>IF(Q_TBL[[#This Row],[Information provided]]="Yes",Q_TBL[[#This Row],[Variable1]],Q_TBL[[#This Row],[Variable2]])</f>
        <v>No Work</v>
      </c>
      <c r="Q71" s="50" t="s">
        <v>174</v>
      </c>
      <c r="R71" s="213"/>
      <c r="S71" s="214"/>
      <c r="T71" s="34"/>
      <c r="U71" s="50"/>
      <c r="V71" s="50"/>
    </row>
    <row r="72" spans="2:22">
      <c r="B72" s="191">
        <v>67</v>
      </c>
      <c r="C72" s="201">
        <v>7</v>
      </c>
      <c r="D72" s="202" t="s">
        <v>118</v>
      </c>
      <c r="E72" s="202"/>
      <c r="F72" s="192"/>
      <c r="G72" s="192"/>
      <c r="H72" s="42"/>
      <c r="I72" s="417"/>
      <c r="J72" s="50"/>
      <c r="K72" s="50"/>
      <c r="L72" s="50"/>
      <c r="M72" s="51"/>
      <c r="N72" s="50"/>
      <c r="O72" s="46"/>
      <c r="P72" s="50"/>
      <c r="Q72" s="50"/>
      <c r="R72" s="213"/>
      <c r="S72" s="214"/>
      <c r="T72" s="34"/>
      <c r="U72" s="50"/>
      <c r="V72" s="50"/>
    </row>
    <row r="73" spans="2:22" ht="48">
      <c r="B73" s="47">
        <v>68</v>
      </c>
      <c r="C73" s="48"/>
      <c r="D73" s="49"/>
      <c r="E73" s="49">
        <v>7.01</v>
      </c>
      <c r="F73" s="18" t="s">
        <v>270</v>
      </c>
      <c r="G73" s="18" t="s">
        <v>354</v>
      </c>
      <c r="H73" s="42"/>
      <c r="I73" s="417">
        <f>'Costing Questions'!B37</f>
        <v>17</v>
      </c>
      <c r="J73" s="52">
        <f>'Costing Questions'!E$37</f>
        <v>0</v>
      </c>
      <c r="K73" s="53"/>
      <c r="L73" s="60">
        <v>1</v>
      </c>
      <c r="M73" s="53" t="s">
        <v>59</v>
      </c>
      <c r="N73" s="53"/>
      <c r="O73" s="46"/>
      <c r="P73" s="50" t="str">
        <f>IF(Q_TBL[[#This Row],[Information provided]]="Yes",Q_TBL[[#This Row],[Variable1]],Q_TBL[[#This Row],[Variable2]])</f>
        <v>No Work</v>
      </c>
      <c r="Q73" s="50" t="s">
        <v>174</v>
      </c>
      <c r="R73" s="213"/>
      <c r="S73" s="214"/>
      <c r="T73" s="34"/>
      <c r="U73" s="50"/>
      <c r="V73" s="50"/>
    </row>
    <row r="74" spans="2:22">
      <c r="B74" s="47">
        <v>69</v>
      </c>
      <c r="C74" s="48">
        <v>8</v>
      </c>
      <c r="D74" s="49" t="s">
        <v>15</v>
      </c>
      <c r="E74" s="49"/>
      <c r="F74" s="18"/>
      <c r="G74" s="18"/>
      <c r="H74" s="42"/>
      <c r="I74" s="417"/>
      <c r="J74" s="50"/>
      <c r="K74" s="50"/>
      <c r="L74" s="50"/>
      <c r="M74" s="51"/>
      <c r="N74" s="50"/>
      <c r="O74" s="46"/>
      <c r="P74" s="50"/>
      <c r="Q74" s="50"/>
      <c r="R74" s="213"/>
      <c r="S74" s="214"/>
      <c r="T74" s="34"/>
      <c r="U74" s="50"/>
      <c r="V74" s="50"/>
    </row>
    <row r="75" spans="2:22" ht="36">
      <c r="B75" s="47">
        <v>70</v>
      </c>
      <c r="C75" s="48"/>
      <c r="D75" s="49"/>
      <c r="E75" s="49">
        <v>8.01</v>
      </c>
      <c r="F75" s="18" t="s">
        <v>273</v>
      </c>
      <c r="G75" s="18" t="s">
        <v>355</v>
      </c>
      <c r="H75" s="42"/>
      <c r="I75" s="417"/>
      <c r="J75" s="75"/>
      <c r="K75" s="75"/>
      <c r="L75" s="75">
        <v>0.05</v>
      </c>
      <c r="M75" s="76"/>
      <c r="N75" s="53"/>
      <c r="O75" s="46"/>
      <c r="P75" s="75">
        <f>Q_TBL[[#This Row],[Variable1]]</f>
        <v>0.05</v>
      </c>
      <c r="Q75" s="51" t="s">
        <v>90</v>
      </c>
      <c r="R75" s="215"/>
      <c r="S75" s="216"/>
      <c r="T75" s="35"/>
      <c r="U75" s="51"/>
      <c r="V75" s="51"/>
    </row>
    <row r="76" spans="2:22">
      <c r="B76" s="47">
        <v>71</v>
      </c>
      <c r="C76" s="48">
        <v>9</v>
      </c>
      <c r="D76" s="49" t="s">
        <v>119</v>
      </c>
      <c r="E76" s="49"/>
      <c r="F76" s="18"/>
      <c r="G76" s="18"/>
      <c r="H76" s="42"/>
      <c r="I76" s="417"/>
      <c r="J76" s="50"/>
      <c r="K76" s="50"/>
      <c r="L76" s="50"/>
      <c r="M76" s="51"/>
      <c r="N76" s="50"/>
      <c r="O76" s="46"/>
      <c r="P76" s="50"/>
      <c r="Q76" s="50"/>
      <c r="R76" s="213"/>
      <c r="S76" s="214"/>
      <c r="T76" s="34"/>
      <c r="U76" s="50"/>
      <c r="V76" s="50"/>
    </row>
    <row r="77" spans="2:22" ht="36">
      <c r="B77" s="47">
        <v>72</v>
      </c>
      <c r="C77" s="48"/>
      <c r="D77" s="49"/>
      <c r="E77" s="49">
        <v>9.01</v>
      </c>
      <c r="F77" s="18" t="s">
        <v>284</v>
      </c>
      <c r="G77" s="18" t="s">
        <v>356</v>
      </c>
      <c r="H77" s="42"/>
      <c r="I77" s="417"/>
      <c r="J77" s="75"/>
      <c r="K77" s="75"/>
      <c r="L77" s="75">
        <v>0.01</v>
      </c>
      <c r="M77" s="76"/>
      <c r="N77" s="53"/>
      <c r="O77" s="46"/>
      <c r="P77" s="75">
        <f>Q_TBL[[#This Row],[Variable1]]</f>
        <v>0.01</v>
      </c>
      <c r="Q77" s="51" t="s">
        <v>90</v>
      </c>
      <c r="R77" s="215"/>
      <c r="S77" s="216"/>
      <c r="T77" s="35"/>
      <c r="U77" s="51"/>
      <c r="V77" s="51"/>
    </row>
    <row r="78" spans="2:22">
      <c r="B78" s="47">
        <v>73</v>
      </c>
      <c r="C78" s="48">
        <v>10</v>
      </c>
      <c r="D78" s="49" t="s">
        <v>16</v>
      </c>
      <c r="E78" s="49"/>
      <c r="F78" s="18"/>
      <c r="G78" s="18"/>
      <c r="H78" s="42"/>
      <c r="I78" s="417"/>
      <c r="J78" s="50"/>
      <c r="K78" s="50"/>
      <c r="L78" s="50"/>
      <c r="M78" s="51"/>
      <c r="N78" s="50"/>
      <c r="O78" s="46"/>
      <c r="P78" s="50"/>
      <c r="Q78" s="50"/>
      <c r="R78" s="213"/>
      <c r="S78" s="214"/>
      <c r="T78" s="34"/>
      <c r="U78" s="50"/>
      <c r="V78" s="50"/>
    </row>
    <row r="79" spans="2:22" ht="108">
      <c r="B79" s="47">
        <v>74</v>
      </c>
      <c r="C79" s="48"/>
      <c r="D79" s="49"/>
      <c r="E79" s="49">
        <v>10.01</v>
      </c>
      <c r="F79" s="18" t="s">
        <v>272</v>
      </c>
      <c r="G79" s="18" t="s">
        <v>159</v>
      </c>
      <c r="H79" s="42"/>
      <c r="I79" s="417"/>
      <c r="J79" s="75"/>
      <c r="K79" s="75"/>
      <c r="L79" s="75">
        <v>0.01</v>
      </c>
      <c r="M79" s="51"/>
      <c r="N79" s="50"/>
      <c r="O79" s="46"/>
      <c r="P79" s="75">
        <f>Q_TBL[[#This Row],[Variable1]]</f>
        <v>0.01</v>
      </c>
      <c r="Q79" s="51" t="s">
        <v>90</v>
      </c>
      <c r="R79" s="213"/>
      <c r="S79" s="214"/>
      <c r="T79" s="34"/>
      <c r="U79" s="50"/>
      <c r="V79" s="50"/>
    </row>
    <row r="80" spans="2:22">
      <c r="B80" s="47">
        <v>75</v>
      </c>
      <c r="C80" s="48">
        <v>11</v>
      </c>
      <c r="D80" s="49" t="s">
        <v>25</v>
      </c>
      <c r="E80" s="49"/>
      <c r="F80" s="18"/>
      <c r="G80" s="18"/>
      <c r="H80" s="42"/>
      <c r="I80" s="417"/>
      <c r="J80" s="50"/>
      <c r="K80" s="50"/>
      <c r="L80" s="50"/>
      <c r="M80" s="51"/>
      <c r="N80" s="50"/>
      <c r="O80" s="46"/>
      <c r="P80" s="50"/>
      <c r="Q80" s="50"/>
      <c r="R80" s="213"/>
      <c r="S80" s="214"/>
      <c r="T80" s="34"/>
      <c r="U80" s="50"/>
      <c r="V80" s="50"/>
    </row>
    <row r="81" spans="2:22" ht="108">
      <c r="B81" s="47">
        <v>76</v>
      </c>
      <c r="C81" s="48"/>
      <c r="D81" s="49"/>
      <c r="E81" s="49">
        <v>11.01</v>
      </c>
      <c r="F81" s="18" t="s">
        <v>271</v>
      </c>
      <c r="G81" s="18" t="s">
        <v>358</v>
      </c>
      <c r="H81" s="42"/>
      <c r="I81" s="417"/>
      <c r="J81" s="75"/>
      <c r="K81" s="75"/>
      <c r="L81" s="75">
        <f>'Unit Rates Worksheet'!S$40</f>
        <v>0.15</v>
      </c>
      <c r="M81" s="76"/>
      <c r="N81" s="53"/>
      <c r="O81" s="46"/>
      <c r="P81" s="75">
        <f>Q_TBL[[#This Row],[Variable1]]</f>
        <v>0.15</v>
      </c>
      <c r="Q81" s="51" t="s">
        <v>90</v>
      </c>
      <c r="R81" s="215"/>
      <c r="S81" s="216"/>
      <c r="T81" s="35"/>
      <c r="U81" s="51"/>
      <c r="V81" s="51"/>
    </row>
    <row r="82" spans="2:22">
      <c r="B82" s="47">
        <v>77</v>
      </c>
      <c r="C82" s="48">
        <v>12</v>
      </c>
      <c r="D82" s="49" t="s">
        <v>177</v>
      </c>
      <c r="E82" s="49"/>
      <c r="F82" s="18"/>
      <c r="G82" s="18"/>
      <c r="H82" s="42"/>
      <c r="I82" s="417"/>
      <c r="J82" s="50"/>
      <c r="K82" s="50"/>
      <c r="L82" s="50"/>
      <c r="M82" s="51"/>
      <c r="N82" s="50"/>
      <c r="O82" s="46"/>
      <c r="P82" s="50"/>
      <c r="Q82" s="50"/>
      <c r="R82" s="213"/>
      <c r="S82" s="214"/>
      <c r="T82" s="34"/>
      <c r="U82" s="50"/>
      <c r="V82" s="50"/>
    </row>
    <row r="83" spans="2:22" ht="36">
      <c r="B83" s="47">
        <v>78</v>
      </c>
      <c r="C83" s="48"/>
      <c r="D83" s="49"/>
      <c r="E83" s="49">
        <v>12.01</v>
      </c>
      <c r="F83" s="18" t="s">
        <v>278</v>
      </c>
      <c r="G83" s="18" t="s">
        <v>357</v>
      </c>
      <c r="H83" s="42"/>
      <c r="I83" s="417"/>
      <c r="J83" s="50"/>
      <c r="K83" s="53" t="b">
        <f>'Project-Specific Costs'!I77&gt;0</f>
        <v>0</v>
      </c>
      <c r="L83" s="60">
        <v>1</v>
      </c>
      <c r="M83" s="53" t="s">
        <v>59</v>
      </c>
      <c r="N83" s="53"/>
      <c r="O83" s="46"/>
      <c r="P83" s="50" t="str">
        <f>IF(Q_TBL[[#This Row],[True/ False]]=TRUE,Q_TBL[[#This Row],[Variable1]],Q_TBL[[#This Row],[Variable2]])</f>
        <v>No Work</v>
      </c>
      <c r="Q83" s="50" t="s">
        <v>174</v>
      </c>
      <c r="R83" s="215"/>
      <c r="S83" s="216"/>
      <c r="T83" s="35"/>
      <c r="U83" s="51"/>
      <c r="V83" s="51"/>
    </row>
    <row r="84" spans="2:22">
      <c r="B84" s="39">
        <v>79</v>
      </c>
      <c r="C84" s="40" t="s">
        <v>64</v>
      </c>
      <c r="D84" s="41"/>
      <c r="E84" s="41"/>
      <c r="F84" s="20"/>
      <c r="G84" s="20"/>
      <c r="H84" s="42"/>
      <c r="I84" s="417"/>
      <c r="J84" s="78"/>
      <c r="K84" s="78"/>
      <c r="L84" s="78"/>
      <c r="M84" s="79"/>
      <c r="N84" s="78"/>
      <c r="O84" s="46"/>
      <c r="P84" s="45"/>
      <c r="Q84" s="44"/>
      <c r="R84" s="215"/>
      <c r="S84" s="216"/>
      <c r="T84" s="36"/>
      <c r="U84" s="44"/>
      <c r="V84" s="44"/>
    </row>
    <row r="85" spans="2:22" ht="10.050000000000001" customHeight="1"/>
    <row r="86" spans="2:22">
      <c r="B86" s="435"/>
      <c r="C86" s="1" t="s">
        <v>364</v>
      </c>
    </row>
    <row r="87" spans="2:22">
      <c r="B87" s="436"/>
      <c r="C87" s="1" t="s">
        <v>362</v>
      </c>
    </row>
    <row r="88" spans="2:22" ht="10.050000000000001" customHeight="1"/>
  </sheetData>
  <sheetProtection sheet="1" objects="1" scenarios="1"/>
  <phoneticPr fontId="8" type="noConversion"/>
  <conditionalFormatting sqref="T6:V84 P6:Q84 B6:G84 I6:N84">
    <cfRule type="expression" dxfId="78" priority="259">
      <formula>NOT(ISBLANK($F6))</formula>
    </cfRule>
    <cfRule type="expression" dxfId="77" priority="261">
      <formula>ISNUMBER($C6)</formula>
    </cfRule>
    <cfRule type="expression" dxfId="76" priority="263">
      <formula>AND(ISBLANK($C6),ISTEXT($D6))</formula>
    </cfRule>
  </conditionalFormatting>
  <pageMargins left="0.51181102362204722" right="0.51181102362204722" top="0.74803149606299213" bottom="0.55118110236220474" header="0.31496062992125984" footer="0.31496062992125984"/>
  <pageSetup scale="66" fitToHeight="12" orientation="landscape" horizontalDpi="1200" verticalDpi="1200" r:id="rId1"/>
  <headerFooter>
    <oddHeader>&amp;R&amp;K00-026Mackenzie Valley Land-Use Closure and Reclamation Tool - Closure Costs</oddHeader>
    <oddFooter>&amp;C&amp;K00-033BCL/ DXB&amp;R&amp;K00-033Page &amp;P of &amp;N</oddFooter>
  </headerFooter>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8ED5-852A-47D6-A274-964A2AAD6874}">
  <sheetPr codeName="Sheet6">
    <tabColor theme="0" tint="-0.249977111117893"/>
    <pageSetUpPr fitToPage="1"/>
  </sheetPr>
  <dimension ref="A1:R89"/>
  <sheetViews>
    <sheetView zoomScaleNormal="100" workbookViewId="0">
      <pane xSplit="7" ySplit="5" topLeftCell="H6" activePane="bottomRight" state="frozen"/>
      <selection activeCell="AE5" sqref="A5:AE5"/>
      <selection pane="topRight" activeCell="AE5" sqref="A5:AE5"/>
      <selection pane="bottomLeft" activeCell="AE5" sqref="A5:AE5"/>
      <selection pane="bottomRight" activeCell="F3" sqref="F3"/>
    </sheetView>
  </sheetViews>
  <sheetFormatPr defaultColWidth="8.77734375" defaultRowHeight="18" outlineLevelCol="1"/>
  <cols>
    <col min="1" max="1" width="1.6640625" style="8" customWidth="1"/>
    <col min="2" max="2" width="6.6640625" style="2" customWidth="1"/>
    <col min="3" max="4" width="8.6640625" style="1" customWidth="1"/>
    <col min="5" max="5" width="6.6640625" style="1" customWidth="1"/>
    <col min="6" max="6" width="36.6640625" style="3" customWidth="1"/>
    <col min="7" max="7" width="36.6640625" style="3" customWidth="1" outlineLevel="1"/>
    <col min="8" max="8" width="1.6640625" style="3" customWidth="1"/>
    <col min="9" max="12" width="12.6640625" style="3" customWidth="1"/>
    <col min="13" max="14" width="12.6640625" style="6" customWidth="1"/>
    <col min="15" max="15" width="1.6640625" style="6" customWidth="1"/>
    <col min="16" max="17" width="12.6640625" style="1" customWidth="1"/>
    <col min="18" max="18" width="1.6640625" style="26" customWidth="1"/>
    <col min="19" max="16384" width="8.77734375" style="1"/>
  </cols>
  <sheetData>
    <row r="1" spans="1:18">
      <c r="A1" s="218" t="str">
        <f>'Costing Questions'!B1</f>
        <v>Closure and Reclamation Tool - Closure Costs_Project Name</v>
      </c>
    </row>
    <row r="2" spans="1:18" ht="10.050000000000001" customHeight="1" thickBot="1"/>
    <row r="3" spans="1:18" ht="18.600000000000001" thickBot="1">
      <c r="B3" s="332" t="s">
        <v>283</v>
      </c>
      <c r="C3" s="333"/>
      <c r="D3" s="333"/>
      <c r="E3" s="334"/>
      <c r="F3" s="210"/>
      <c r="G3" s="210"/>
    </row>
    <row r="4" spans="1:18" ht="10.050000000000001" customHeight="1"/>
    <row r="5" spans="1:18" s="13" customFormat="1" ht="36">
      <c r="A5" s="323" t="s">
        <v>239</v>
      </c>
      <c r="B5" s="159" t="s">
        <v>10</v>
      </c>
      <c r="C5" s="159" t="s">
        <v>132</v>
      </c>
      <c r="D5" s="159" t="s">
        <v>131</v>
      </c>
      <c r="E5" s="159" t="s">
        <v>133</v>
      </c>
      <c r="F5" s="159" t="s">
        <v>21</v>
      </c>
      <c r="G5" s="159" t="s">
        <v>55</v>
      </c>
      <c r="H5" s="106" t="s">
        <v>0</v>
      </c>
      <c r="I5" s="159" t="s">
        <v>274</v>
      </c>
      <c r="J5" s="159" t="s">
        <v>275</v>
      </c>
      <c r="K5" s="159" t="s">
        <v>280</v>
      </c>
      <c r="L5" s="159" t="s">
        <v>92</v>
      </c>
      <c r="M5" s="160" t="s">
        <v>93</v>
      </c>
      <c r="N5" s="160" t="s">
        <v>94</v>
      </c>
      <c r="O5" s="38" t="s">
        <v>52</v>
      </c>
      <c r="P5" s="160" t="s">
        <v>3</v>
      </c>
      <c r="Q5" s="160" t="s">
        <v>40</v>
      </c>
      <c r="R5" s="27"/>
    </row>
    <row r="6" spans="1:18" s="13" customFormat="1">
      <c r="A6" s="11"/>
      <c r="B6" s="39">
        <v>1</v>
      </c>
      <c r="C6" s="40">
        <f>'Quantities Worksheet'!C6</f>
        <v>1</v>
      </c>
      <c r="D6" s="41" t="str">
        <f>'Quantities Worksheet'!D6</f>
        <v>Land Restoration</v>
      </c>
      <c r="E6" s="41"/>
      <c r="F6" s="20"/>
      <c r="G6" s="20"/>
      <c r="H6" s="32"/>
      <c r="I6" s="418"/>
      <c r="J6" s="382"/>
      <c r="K6" s="382"/>
      <c r="L6" s="43"/>
      <c r="M6" s="44"/>
      <c r="N6" s="45"/>
      <c r="O6" s="46"/>
      <c r="P6" s="111"/>
      <c r="Q6" s="110"/>
      <c r="R6" s="27"/>
    </row>
    <row r="7" spans="1:18" s="13" customFormat="1">
      <c r="A7" s="11"/>
      <c r="B7" s="47">
        <v>2</v>
      </c>
      <c r="C7" s="48"/>
      <c r="D7" s="49" t="str">
        <f>'Quantities Worksheet'!D7</f>
        <v>a</v>
      </c>
      <c r="E7" s="49" t="str">
        <f>'Quantities Worksheet'!E7</f>
        <v>Land Restoration</v>
      </c>
      <c r="F7" s="18"/>
      <c r="G7" s="18"/>
      <c r="H7" s="32"/>
      <c r="I7" s="418"/>
      <c r="J7" s="382"/>
      <c r="K7" s="382"/>
      <c r="L7" s="50"/>
      <c r="M7" s="51"/>
      <c r="N7" s="50"/>
      <c r="O7" s="46"/>
      <c r="P7" s="92"/>
      <c r="Q7" s="112"/>
      <c r="R7" s="27"/>
    </row>
    <row r="8" spans="1:18" ht="36">
      <c r="B8" s="47">
        <v>3</v>
      </c>
      <c r="C8" s="48"/>
      <c r="D8" s="49"/>
      <c r="E8" s="49">
        <f>'Quantities Worksheet'!E8</f>
        <v>1.01</v>
      </c>
      <c r="F8" s="18" t="str">
        <f>'Quantities Worksheet'!F8</f>
        <v xml:space="preserve">Does land restoration require the use of heavy equipment?
</v>
      </c>
      <c r="G8" s="18" t="str">
        <f>'Quantities Worksheet'!G8</f>
        <v>Yes/ No answer for heavy equipment</v>
      </c>
      <c r="H8" s="32"/>
      <c r="I8" s="418"/>
      <c r="J8" s="50"/>
      <c r="K8" s="50"/>
      <c r="L8" s="50"/>
      <c r="M8" s="50"/>
      <c r="N8" s="50"/>
      <c r="O8" s="46"/>
      <c r="P8" s="92" t="str">
        <f>'Quantities Worksheet'!Q8</f>
        <v>Y/ N</v>
      </c>
      <c r="Q8" s="113" t="s">
        <v>42</v>
      </c>
    </row>
    <row r="9" spans="1:18" ht="144">
      <c r="B9" s="47">
        <v>4</v>
      </c>
      <c r="C9" s="48"/>
      <c r="D9" s="49"/>
      <c r="E9" s="49">
        <f>'Quantities Worksheet'!E9</f>
        <v>1.02</v>
      </c>
      <c r="F9" s="18" t="str">
        <f>'Quantities Worksheet'!F9</f>
        <v xml:space="preserve">Restoration of land, as required:
→ underground portals 
→ large fuel storage containment cells &amp; containment berms
→ earth moving or land clearing excavations, stockpiles, quarries &amp; drainage channels
→ access roads &amp; airstrips
→ large areas where topsoil or vegetation was removed
→ building foundations and demolition of large buildings
</v>
      </c>
      <c r="G9" s="18" t="str">
        <f>'Quantities Worksheet'!G9</f>
        <v xml:space="preserve">Re-contour disturbed areas/ grade to match natural surrounding and promote natural drainage:
→ Dozer at full production (grading, ripping, spreading)
→ Excavator &amp; 2x trucks @ 1/3 production (gravel removal, sump burial)
</v>
      </c>
      <c r="H9" s="32"/>
      <c r="I9" s="418"/>
      <c r="J9" s="50"/>
      <c r="K9" s="50"/>
      <c r="L9" s="114">
        <f>'Quantities Worksheet'!U9</f>
        <v>1.9</v>
      </c>
      <c r="M9" s="115">
        <f>'Unit Rates Worksheet'!S$16/RATE_TBL[[#This Row],[Variable1]]</f>
        <v>5878.4210526315792</v>
      </c>
      <c r="N9" s="116">
        <v>6536.52</v>
      </c>
      <c r="O9" s="46"/>
      <c r="P9" s="92" t="str">
        <f>'Quantities Worksheet'!Q9</f>
        <v>ha</v>
      </c>
      <c r="Q9" s="112">
        <f>RATE_TBL[[#This Row],[Variable2]]</f>
        <v>5878.4210526315792</v>
      </c>
    </row>
    <row r="10" spans="1:18" ht="84">
      <c r="B10" s="47">
        <v>5</v>
      </c>
      <c r="C10" s="48"/>
      <c r="D10" s="49"/>
      <c r="E10" s="49">
        <f>'Quantities Worksheet'!E10</f>
        <v>1.03</v>
      </c>
      <c r="F10" s="18" t="str">
        <f>'Quantities Worksheet'!F10</f>
        <v xml:space="preserve">Placement of salvaged topsoil and/or organics
</v>
      </c>
      <c r="G10" s="18" t="str">
        <f>'Quantities Worksheet'!G10</f>
        <v xml:space="preserve">Place overburden to restore disturbed areas to match original site conditions/ promote vegetation:
→ Assign 15% of total disturbed areas to create pockets for revegetation
→ 150 mm thick cover
</v>
      </c>
      <c r="H10" s="32"/>
      <c r="I10" s="418"/>
      <c r="J10" s="50"/>
      <c r="K10" s="50"/>
      <c r="L10" s="117">
        <f>'Quantities Worksheet'!U10</f>
        <v>880</v>
      </c>
      <c r="M10" s="112">
        <f>'Unit Rates Worksheet'!S$16/RATE_TBL[[#This Row],[Variable1]]</f>
        <v>12.692045454545454</v>
      </c>
      <c r="N10" s="118">
        <v>5.5284000000000004</v>
      </c>
      <c r="O10" s="77"/>
      <c r="P10" s="92" t="str">
        <f>'Quantities Worksheet'!Q10</f>
        <v>cu.m</v>
      </c>
      <c r="Q10" s="112">
        <f>RATE_TBL[[#This Row],[Variable2]]</f>
        <v>12.692045454545454</v>
      </c>
    </row>
    <row r="11" spans="1:18" ht="48">
      <c r="B11" s="47">
        <v>6</v>
      </c>
      <c r="C11" s="48"/>
      <c r="D11" s="49"/>
      <c r="E11" s="49">
        <f>'Quantities Worksheet'!E11</f>
        <v>1.04</v>
      </c>
      <c r="F11" s="18" t="str">
        <f>'Quantities Worksheet'!F11</f>
        <v xml:space="preserve">Application of fertilizer
</v>
      </c>
      <c r="G11" s="18" t="str">
        <f>'Quantities Worksheet'!G11</f>
        <v xml:space="preserve">Include costs for applying fertilizer:
→ Labour + fertilizer costs
→ 15% of total disturbed areas
</v>
      </c>
      <c r="H11" s="32"/>
      <c r="I11" s="418"/>
      <c r="J11" s="50"/>
      <c r="K11" s="50"/>
      <c r="L11" s="114">
        <f>'Quantities Worksheet'!U11</f>
        <v>2</v>
      </c>
      <c r="M11" s="112">
        <f>'Unit Rates Worksheet'!S$11/RATE_TBL[[#This Row],[Variable1]]</f>
        <v>1619.3999999999999</v>
      </c>
      <c r="N11" s="112">
        <f>300*1.2</f>
        <v>360</v>
      </c>
      <c r="O11" s="119"/>
      <c r="P11" s="92" t="str">
        <f>'Quantities Worksheet'!Q11</f>
        <v>ha</v>
      </c>
      <c r="Q11" s="112">
        <f>RATE_TBL[[#This Row],[Variable2]]+RATE_TBL[[#This Row],[Variable3]]</f>
        <v>1979.3999999999999</v>
      </c>
    </row>
    <row r="12" spans="1:18" ht="48">
      <c r="B12" s="47">
        <v>7</v>
      </c>
      <c r="C12" s="48"/>
      <c r="D12" s="49"/>
      <c r="E12" s="49">
        <f>'Quantities Worksheet'!E12</f>
        <v>1.05</v>
      </c>
      <c r="F12" s="18" t="str">
        <f>'Quantities Worksheet'!F12</f>
        <v xml:space="preserve">Seeding/ planting
</v>
      </c>
      <c r="G12" s="18" t="str">
        <f>'Quantities Worksheet'!G12</f>
        <v xml:space="preserve">Include costs for seeding/ planting:
→ Labour + seed costs
→ 15% of total disturbed areas 
</v>
      </c>
      <c r="H12" s="32"/>
      <c r="I12" s="418"/>
      <c r="J12" s="50"/>
      <c r="K12" s="50"/>
      <c r="L12" s="114">
        <f>'Quantities Worksheet'!U12</f>
        <v>2</v>
      </c>
      <c r="M12" s="112">
        <f>'Unit Rates Worksheet'!S$11/RATE_TBL[[#This Row],[Variable1]]</f>
        <v>1619.3999999999999</v>
      </c>
      <c r="N12" s="112">
        <f>25*15.45</f>
        <v>386.25</v>
      </c>
      <c r="O12" s="119"/>
      <c r="P12" s="92" t="str">
        <f>'Quantities Worksheet'!Q12</f>
        <v>ha</v>
      </c>
      <c r="Q12" s="112">
        <f>RATE_TBL[[#This Row],[Variable2]]+RATE_TBL[[#This Row],[Variable3]]</f>
        <v>2005.6499999999999</v>
      </c>
    </row>
    <row r="13" spans="1:18">
      <c r="B13" s="47">
        <v>8</v>
      </c>
      <c r="C13" s="48">
        <f>'Quantities Worksheet'!C13</f>
        <v>2</v>
      </c>
      <c r="D13" s="49" t="str">
        <f>'Quantities Worksheet'!D13</f>
        <v>Removal of Abandoned Equipment and Buildings (Demobilization component in Section 5)</v>
      </c>
      <c r="E13" s="49"/>
      <c r="F13" s="18"/>
      <c r="G13" s="18"/>
      <c r="H13" s="32"/>
      <c r="I13" s="418"/>
      <c r="J13" s="382"/>
      <c r="K13" s="382"/>
      <c r="L13" s="50"/>
      <c r="M13" s="51"/>
      <c r="N13" s="50"/>
      <c r="O13" s="46"/>
      <c r="P13" s="92"/>
      <c r="Q13" s="112"/>
    </row>
    <row r="14" spans="1:18">
      <c r="B14" s="47">
        <v>9</v>
      </c>
      <c r="C14" s="48"/>
      <c r="D14" s="49" t="str">
        <f>'Quantities Worksheet'!D14</f>
        <v>a</v>
      </c>
      <c r="E14" s="49" t="str">
        <f>'Quantities Worksheet'!E14</f>
        <v>Prepare Abandoned Equipment for removal/ demobilization</v>
      </c>
      <c r="F14" s="18"/>
      <c r="G14" s="18"/>
      <c r="H14" s="32"/>
      <c r="I14" s="418"/>
      <c r="J14" s="382"/>
      <c r="K14" s="382"/>
      <c r="L14" s="50"/>
      <c r="M14" s="51"/>
      <c r="N14" s="50"/>
      <c r="O14" s="46"/>
      <c r="P14" s="92"/>
      <c r="Q14" s="112"/>
    </row>
    <row r="15" spans="1:18" ht="60">
      <c r="B15" s="47">
        <v>10</v>
      </c>
      <c r="C15" s="48"/>
      <c r="D15" s="49"/>
      <c r="E15" s="49">
        <f>'Quantities Worksheet'!E15</f>
        <v>2.0099999999999998</v>
      </c>
      <c r="F15" s="18" t="str">
        <f>'Quantities Worksheet'!F15</f>
        <v xml:space="preserve">Prepare equipment for demobilization
</v>
      </c>
      <c r="G15" s="18" t="str">
        <f>'Quantities Worksheet'!G15</f>
        <v xml:space="preserve">Labour work to prepare equipment:
→ Drain fluids
→ Dismantle and package for demobilization
</v>
      </c>
      <c r="H15" s="32"/>
      <c r="I15" s="418"/>
      <c r="J15" s="50"/>
      <c r="K15" s="50"/>
      <c r="L15" s="120">
        <f>'Quantities Worksheet'!U15</f>
        <v>44</v>
      </c>
      <c r="M15" s="115">
        <f>'Unit Rates Worksheet'!S$11/RATE_TBL[[#This Row],[Variable1]]</f>
        <v>73.609090909090909</v>
      </c>
      <c r="N15" s="50"/>
      <c r="O15" s="46"/>
      <c r="P15" s="92" t="str">
        <f>'Quantities Worksheet'!Q15</f>
        <v>pieces of equipment</v>
      </c>
      <c r="Q15" s="112">
        <f>RATE_TBL[[#This Row],[Variable2]]</f>
        <v>73.609090909090909</v>
      </c>
    </row>
    <row r="16" spans="1:18">
      <c r="B16" s="47">
        <v>11</v>
      </c>
      <c r="C16" s="48"/>
      <c r="D16" s="49" t="str">
        <f>'Quantities Worksheet'!D16</f>
        <v>b</v>
      </c>
      <c r="E16" s="49" t="str">
        <f>'Quantities Worksheet'!E16</f>
        <v>Prepare Abandoned Camp/ Buildings/ Infrastructure for removal/ demobilization</v>
      </c>
      <c r="F16" s="18"/>
      <c r="G16" s="18"/>
      <c r="H16" s="32"/>
      <c r="I16" s="418"/>
      <c r="J16" s="382"/>
      <c r="K16" s="382"/>
      <c r="L16" s="50"/>
      <c r="M16" s="51"/>
      <c r="N16" s="50"/>
      <c r="O16" s="46"/>
      <c r="P16" s="92"/>
      <c r="Q16" s="112"/>
    </row>
    <row r="17" spans="2:17" ht="36">
      <c r="B17" s="47">
        <v>12</v>
      </c>
      <c r="C17" s="48"/>
      <c r="D17" s="49"/>
      <c r="E17" s="49">
        <f>'Quantities Worksheet'!E17</f>
        <v>2.0199999999999996</v>
      </c>
      <c r="F17" s="18" t="str">
        <f>'Quantities Worksheet'!F17</f>
        <v xml:space="preserve">Consolidation of scrap/ garbage
</v>
      </c>
      <c r="G17" s="18" t="str">
        <f>'Quantities Worksheet'!G17</f>
        <v xml:space="preserve">Labour work to pickup and consolidate scrap and debris
</v>
      </c>
      <c r="H17" s="32"/>
      <c r="I17" s="418"/>
      <c r="J17" s="50"/>
      <c r="K17" s="50"/>
      <c r="L17" s="114">
        <f>'Quantities Worksheet'!U17</f>
        <v>4</v>
      </c>
      <c r="M17" s="115">
        <f>'Unit Rates Worksheet'!S$11/RATE_TBL[[#This Row],[Variable1]]</f>
        <v>809.69999999999993</v>
      </c>
      <c r="N17" s="50"/>
      <c r="O17" s="46"/>
      <c r="P17" s="92" t="str">
        <f>'Quantities Worksheet'!Q17</f>
        <v>ha</v>
      </c>
      <c r="Q17" s="112">
        <f>RATE_TBL[[#This Row],[Variable2]]</f>
        <v>809.69999999999993</v>
      </c>
    </row>
    <row r="18" spans="2:17" ht="48">
      <c r="B18" s="47">
        <v>13</v>
      </c>
      <c r="C18" s="48"/>
      <c r="D18" s="49"/>
      <c r="E18" s="49">
        <f>'Quantities Worksheet'!E18</f>
        <v>2.0299999999999994</v>
      </c>
      <c r="F18" s="18" t="str">
        <f>'Quantities Worksheet'!F18</f>
        <v xml:space="preserve">Demolish/ dismantle camp/ buildings/ infrastructure
</v>
      </c>
      <c r="G18" s="18" t="str">
        <f>'Quantities Worksheet'!G18</f>
        <v xml:space="preserve">Labour work to dismantle buildings:
→ work production based on sq.m footprint area of buildings
</v>
      </c>
      <c r="H18" s="32"/>
      <c r="I18" s="418"/>
      <c r="J18" s="50"/>
      <c r="K18" s="50"/>
      <c r="L18" s="121">
        <f>'Quantities Worksheet'!U18</f>
        <v>80</v>
      </c>
      <c r="M18" s="115">
        <f>'Unit Rates Worksheet'!S$11/RATE_TBL[[#This Row],[Variable1]]</f>
        <v>40.484999999999999</v>
      </c>
      <c r="N18" s="50"/>
      <c r="O18" s="122"/>
      <c r="P18" s="92" t="str">
        <f>'Quantities Worksheet'!Q18</f>
        <v>sq.m</v>
      </c>
      <c r="Q18" s="112">
        <f>RATE_TBL[[#This Row],[Variable2]]</f>
        <v>40.484999999999999</v>
      </c>
    </row>
    <row r="19" spans="2:17">
      <c r="B19" s="47">
        <v>14</v>
      </c>
      <c r="C19" s="48"/>
      <c r="D19" s="49" t="str">
        <f>'Quantities Worksheet'!D19</f>
        <v>c</v>
      </c>
      <c r="E19" s="49" t="str">
        <f>'Quantities Worksheet'!E19</f>
        <v>Disposal Costs</v>
      </c>
      <c r="F19" s="18"/>
      <c r="G19" s="18"/>
      <c r="H19" s="32"/>
      <c r="I19" s="418"/>
      <c r="J19" s="382"/>
      <c r="K19" s="382"/>
      <c r="L19" s="50"/>
      <c r="M19" s="51"/>
      <c r="N19" s="50"/>
      <c r="O19" s="46"/>
      <c r="P19" s="92"/>
      <c r="Q19" s="112"/>
    </row>
    <row r="20" spans="2:17" ht="60">
      <c r="B20" s="47">
        <v>15</v>
      </c>
      <c r="C20" s="48"/>
      <c r="D20" s="49"/>
      <c r="E20" s="49">
        <f>'Quantities Worksheet'!E20</f>
        <v>2.04</v>
      </c>
      <c r="F20" s="18" t="str">
        <f>'Quantities Worksheet'!F20</f>
        <v xml:space="preserve">Waste transport to southern disposal facility from support city
</v>
      </c>
      <c r="G20" s="18" t="str">
        <f>'Quantities Worksheet'!G20</f>
        <v xml:space="preserve">Transport of abandoned buildings and equipment to disposal facility based on total weight:
→ Southern industrial waste disposal (15 hrs to AB).
</v>
      </c>
      <c r="H20" s="32"/>
      <c r="I20" s="418"/>
      <c r="J20" s="50"/>
      <c r="K20" s="50"/>
      <c r="L20" s="50"/>
      <c r="M20" s="50"/>
      <c r="N20" s="112" t="str">
        <f>'Unit Rates Worksheet'!S$23</f>
        <v>Included in disposal fee</v>
      </c>
      <c r="O20" s="123"/>
      <c r="P20" s="92" t="str">
        <f>'Quantities Worksheet'!Q20</f>
        <v>tonnes</v>
      </c>
      <c r="Q20" s="112" t="str">
        <f>RATE_TBL[[#This Row],[Variable3]]</f>
        <v>Included in disposal fee</v>
      </c>
    </row>
    <row r="21" spans="2:17" ht="24">
      <c r="B21" s="47">
        <v>16</v>
      </c>
      <c r="C21" s="48"/>
      <c r="D21" s="49"/>
      <c r="E21" s="49">
        <f>'Quantities Worksheet'!E21</f>
        <v>2.0499999999999998</v>
      </c>
      <c r="F21" s="18" t="str">
        <f>'Quantities Worksheet'!F21</f>
        <v xml:space="preserve">Waste disposal tipping fee
</v>
      </c>
      <c r="G21" s="18" t="str">
        <f>'Quantities Worksheet'!G21</f>
        <v>Tipping fees for industrial waste.</v>
      </c>
      <c r="H21" s="32"/>
      <c r="I21" s="418"/>
      <c r="J21" s="50"/>
      <c r="K21" s="50"/>
      <c r="L21" s="50"/>
      <c r="M21" s="50"/>
      <c r="N21" s="112">
        <f>'Unit Rates Worksheet'!S$26</f>
        <v>225.5</v>
      </c>
      <c r="O21" s="46"/>
      <c r="P21" s="92" t="str">
        <f>'Quantities Worksheet'!Q21</f>
        <v>tonnes</v>
      </c>
      <c r="Q21" s="112">
        <f>RATE_TBL[[#This Row],[Variable3]]</f>
        <v>225.5</v>
      </c>
    </row>
    <row r="22" spans="2:17">
      <c r="B22" s="47">
        <v>17</v>
      </c>
      <c r="C22" s="48">
        <f>'Quantities Worksheet'!C22</f>
        <v>3</v>
      </c>
      <c r="D22" s="49" t="str">
        <f>'Quantities Worksheet'!D22</f>
        <v>Management of Hazardous Materials and Contaminated Soil (Demobilization component in Section 5)</v>
      </c>
      <c r="E22" s="49"/>
      <c r="F22" s="18"/>
      <c r="G22" s="18"/>
      <c r="H22" s="32"/>
      <c r="I22" s="418"/>
      <c r="J22" s="382"/>
      <c r="K22" s="382"/>
      <c r="L22" s="50"/>
      <c r="M22" s="51"/>
      <c r="N22" s="50"/>
      <c r="O22" s="46"/>
      <c r="P22" s="92"/>
      <c r="Q22" s="112"/>
    </row>
    <row r="23" spans="2:17">
      <c r="B23" s="47">
        <v>18</v>
      </c>
      <c r="C23" s="48"/>
      <c r="D23" s="49" t="str">
        <f>'Quantities Worksheet'!D23</f>
        <v>a</v>
      </c>
      <c r="E23" s="49" t="str">
        <f>'Quantities Worksheet'!E23</f>
        <v>Prepare Hazardous Materials for Removal/ Demobilization (residual waste fuel, waste fuel containers, hazardous building materials, etc.)</v>
      </c>
      <c r="F23" s="18"/>
      <c r="G23" s="18"/>
      <c r="H23" s="32"/>
      <c r="I23" s="418"/>
      <c r="J23" s="382"/>
      <c r="K23" s="382"/>
      <c r="L23" s="50"/>
      <c r="M23" s="51"/>
      <c r="N23" s="50"/>
      <c r="O23" s="46"/>
      <c r="P23" s="92"/>
      <c r="Q23" s="112"/>
    </row>
    <row r="24" spans="2:17" ht="84">
      <c r="B24" s="47">
        <v>19</v>
      </c>
      <c r="C24" s="48"/>
      <c r="D24" s="49"/>
      <c r="E24" s="49">
        <f>'Quantities Worksheet'!E24</f>
        <v>3.01</v>
      </c>
      <c r="F24" s="18" t="str">
        <f>'Quantities Worksheet'!F24</f>
        <v xml:space="preserve">Preparation of fuel barrels and fuel containers for removal/ demob:
→ Transfer residual liquids out of containers
→ Decontaminate, as required
</v>
      </c>
      <c r="G24" s="18" t="str">
        <f>'Quantities Worksheet'!G24</f>
        <v xml:space="preserve">Labour work to consolidate fuel and prepare for transport:
→ Clean
→ Strap to pallets or set into shipping containers
</v>
      </c>
      <c r="H24" s="32"/>
      <c r="I24" s="418"/>
      <c r="J24" s="50"/>
      <c r="K24" s="50"/>
      <c r="L24" s="124">
        <f>'Quantities Worksheet'!U24</f>
        <v>27060</v>
      </c>
      <c r="M24" s="115">
        <f>'Unit Rates Worksheet'!S$11/RATE_TBL[[#This Row],[Variable1]]</f>
        <v>0.11968957871396894</v>
      </c>
      <c r="N24" s="50"/>
      <c r="O24" s="119"/>
      <c r="P24" s="92" t="str">
        <f>'Quantities Worksheet'!Q24</f>
        <v>L of fuel containers</v>
      </c>
      <c r="Q24" s="112">
        <f>RATE_TBL[[#This Row],[Variable2]]</f>
        <v>0.11968957871396894</v>
      </c>
    </row>
    <row r="25" spans="2:17" ht="120">
      <c r="B25" s="47">
        <v>20</v>
      </c>
      <c r="C25" s="48"/>
      <c r="D25" s="49"/>
      <c r="E25" s="49">
        <f>'Quantities Worksheet'!E25</f>
        <v>3.02</v>
      </c>
      <c r="F25" s="18" t="str">
        <f>'Quantities Worksheet'!F25</f>
        <v xml:space="preserve">Hazmat abatement/ consolidated and contain for demobilization
</v>
      </c>
      <c r="G25" s="18" t="str">
        <f>'Quantities Worksheet'!G25</f>
        <v xml:space="preserve">Cost triggered with volume of permitted fuel &gt; 0 L.
Cost of collecting and packaging hazardous materials for disposal:
→ Waste petrol products
→ Used chemicals
→ Batteries
→ Oil filters and absorbent pads
→ Fluorescent lights
</v>
      </c>
      <c r="H25" s="32"/>
      <c r="I25" s="418"/>
      <c r="J25" s="50"/>
      <c r="K25" s="50"/>
      <c r="L25" s="137">
        <v>1</v>
      </c>
      <c r="M25" s="112">
        <f>'Unit Rates Worksheet'!S$11/RATE_TBL[[#This Row],[Variable1]]</f>
        <v>3238.7999999999997</v>
      </c>
      <c r="N25" s="50"/>
      <c r="O25" s="119"/>
      <c r="P25" s="92" t="str">
        <f>'Quantities Worksheet'!Q25</f>
        <v>ea.</v>
      </c>
      <c r="Q25" s="112">
        <f>RATE_TBL[[#This Row],[Variable2]]</f>
        <v>3238.7999999999997</v>
      </c>
    </row>
    <row r="26" spans="2:17">
      <c r="B26" s="47">
        <v>21</v>
      </c>
      <c r="C26" s="48"/>
      <c r="D26" s="49" t="str">
        <f>'Quantities Worksheet'!D26</f>
        <v>b</v>
      </c>
      <c r="E26" s="49" t="str">
        <f>'Quantities Worksheet'!E26</f>
        <v>Soil Remediation (e.g. dig and remove)</v>
      </c>
      <c r="F26" s="18"/>
      <c r="G26" s="18"/>
      <c r="H26" s="32"/>
      <c r="I26" s="418"/>
      <c r="J26" s="382"/>
      <c r="K26" s="382"/>
      <c r="L26" s="50"/>
      <c r="M26" s="51"/>
      <c r="N26" s="50"/>
      <c r="O26" s="46"/>
      <c r="P26" s="92"/>
      <c r="Q26" s="112"/>
    </row>
    <row r="27" spans="2:17" ht="96">
      <c r="B27" s="47">
        <v>22</v>
      </c>
      <c r="C27" s="48"/>
      <c r="D27" s="49"/>
      <c r="E27" s="49">
        <f>'Quantities Worksheet'!E27</f>
        <v>3.03</v>
      </c>
      <c r="F27" s="18" t="str">
        <f>'Quantities Worksheet'!F27</f>
        <v xml:space="preserve">Soil remediation (manual labour to dig out contaminated soil by fuel transfer areas)
</v>
      </c>
      <c r="G27" s="18" t="str">
        <f>'Quantities Worksheet'!G27</f>
        <v xml:space="preserve">Estimate of typical soil clean-up for Fuel Transfer area:
→ Estimate 20L spill for 200,000L of fuel = 0.01%;
→ API Soil Volume required to immobilize a volume of hydrocarbons calculation, 0.4 soil porosity, 15% residual saturation for diesel in fine sand/ silt.
</v>
      </c>
      <c r="H27" s="32"/>
      <c r="I27" s="418"/>
      <c r="J27" s="50"/>
      <c r="K27" s="50"/>
      <c r="L27" s="117">
        <f>'Quantities Worksheet'!U27</f>
        <v>3</v>
      </c>
      <c r="M27" s="112">
        <f>'Unit Rates Worksheet'!S$11/RATE_TBL[[#This Row],[Variable1]]</f>
        <v>1079.5999999999999</v>
      </c>
      <c r="N27" s="50"/>
      <c r="O27" s="119"/>
      <c r="P27" s="92" t="str">
        <f>'Quantities Worksheet'!Q27</f>
        <v>cu.m</v>
      </c>
      <c r="Q27" s="112">
        <f>RATE_TBL[[#This Row],[Variable2]]</f>
        <v>1079.5999999999999</v>
      </c>
    </row>
    <row r="28" spans="2:17">
      <c r="B28" s="47">
        <v>23</v>
      </c>
      <c r="C28" s="48"/>
      <c r="D28" s="49" t="str">
        <f>'Quantities Worksheet'!D28</f>
        <v>c</v>
      </c>
      <c r="E28" s="49" t="str">
        <f>'Quantities Worksheet'!E28</f>
        <v>Disposal of Hazardous Materials</v>
      </c>
      <c r="F28" s="18"/>
      <c r="G28" s="18"/>
      <c r="H28" s="32"/>
      <c r="I28" s="418"/>
      <c r="J28" s="382"/>
      <c r="K28" s="382"/>
      <c r="L28" s="50"/>
      <c r="M28" s="51"/>
      <c r="N28" s="50"/>
      <c r="O28" s="46"/>
      <c r="P28" s="92"/>
      <c r="Q28" s="112"/>
    </row>
    <row r="29" spans="2:17" ht="72">
      <c r="B29" s="47">
        <v>24</v>
      </c>
      <c r="C29" s="48"/>
      <c r="D29" s="49"/>
      <c r="E29" s="49">
        <f>'Quantities Worksheet'!E29</f>
        <v>3.04</v>
      </c>
      <c r="F29" s="18" t="str">
        <f>'Quantities Worksheet'!F29</f>
        <v>Transport of solid hazardous wastes to southern disposal facility from support city</v>
      </c>
      <c r="G29" s="18" t="str">
        <f>'Quantities Worksheet'!G29</f>
        <v xml:space="preserve">Disposal shipping from support city:
→ Empty barrels
→ Empty fuel tanks
→ Contaminated soil from soil remediation (2.05t/cu.m)
</v>
      </c>
      <c r="H29" s="32"/>
      <c r="I29" s="418"/>
      <c r="J29" s="50"/>
      <c r="K29" s="50"/>
      <c r="L29" s="50"/>
      <c r="M29" s="50"/>
      <c r="N29" s="112" t="str">
        <f>'Unit Rates Worksheet'!S$24</f>
        <v>Included in disposal fee</v>
      </c>
      <c r="O29" s="46"/>
      <c r="P29" s="92" t="str">
        <f>'Quantities Worksheet'!Q29</f>
        <v>tonne</v>
      </c>
      <c r="Q29" s="112" t="str">
        <f>RATE_TBL[[#This Row],[Variable3]]</f>
        <v>Included in disposal fee</v>
      </c>
    </row>
    <row r="30" spans="2:17" ht="96">
      <c r="B30" s="47">
        <v>25</v>
      </c>
      <c r="C30" s="48"/>
      <c r="D30" s="49"/>
      <c r="E30" s="49">
        <f>'Quantities Worksheet'!E30</f>
        <v>3.05</v>
      </c>
      <c r="F30" s="18" t="str">
        <f>'Quantities Worksheet'!F30</f>
        <v xml:space="preserve">Transport of liquid hazardous wastes to southern disposal facility from support city
</v>
      </c>
      <c r="G30" s="18" t="str">
        <f>'Quantities Worksheet'!G30</f>
        <v xml:space="preserve">Disposal shipping from support city:
→ Waste fuel (10% of total volume of fuel)(0.832 t/cu.m)
→ Assume 1% of total volume of fuel for petrol waste products (waste oils, lubricants, oil filters and absorbent pads) to make up bulk of 'other' hazmat
</v>
      </c>
      <c r="H30" s="32"/>
      <c r="I30" s="418"/>
      <c r="J30" s="50"/>
      <c r="K30" s="50"/>
      <c r="L30" s="50"/>
      <c r="M30" s="50"/>
      <c r="N30" s="112" t="str">
        <f>'Unit Rates Worksheet'!S$25</f>
        <v>Included in disposal fee</v>
      </c>
      <c r="O30" s="46"/>
      <c r="P30" s="92" t="str">
        <f>'Quantities Worksheet'!Q30</f>
        <v>tonne</v>
      </c>
      <c r="Q30" s="112" t="str">
        <f>RATE_TBL[[#This Row],[Variable3]]</f>
        <v>Included in disposal fee</v>
      </c>
    </row>
    <row r="31" spans="2:17" ht="60">
      <c r="B31" s="47">
        <v>26</v>
      </c>
      <c r="C31" s="48"/>
      <c r="D31" s="49"/>
      <c r="E31" s="49">
        <f>'Quantities Worksheet'!E31</f>
        <v>3.06</v>
      </c>
      <c r="F31" s="18" t="str">
        <f>'Quantities Worksheet'!F31</f>
        <v xml:space="preserve">Hazmat disposal tipping fees:
→ Empty barrels and fuel containers
</v>
      </c>
      <c r="G31" s="18" t="str">
        <f>'Quantities Worksheet'!G31</f>
        <v xml:space="preserve">Tipping fees:
→ Empty barrels @ 20kg/ barrel
→ Empty fuel storage tanks
</v>
      </c>
      <c r="H31" s="32"/>
      <c r="I31" s="418"/>
      <c r="J31" s="50"/>
      <c r="K31" s="50"/>
      <c r="L31" s="50"/>
      <c r="M31" s="50"/>
      <c r="N31" s="112">
        <f>'Unit Rates Worksheet'!S$26</f>
        <v>225.5</v>
      </c>
      <c r="O31" s="46"/>
      <c r="P31" s="92" t="str">
        <f>'Quantities Worksheet'!Q31</f>
        <v>tonne</v>
      </c>
      <c r="Q31" s="112">
        <f>RATE_TBL[[#This Row],[Variable3]]</f>
        <v>225.5</v>
      </c>
    </row>
    <row r="32" spans="2:17" ht="36">
      <c r="B32" s="47">
        <v>27</v>
      </c>
      <c r="C32" s="48"/>
      <c r="D32" s="49"/>
      <c r="E32" s="49">
        <f>'Quantities Worksheet'!E32</f>
        <v>3.07</v>
      </c>
      <c r="F32" s="18" t="str">
        <f>'Quantities Worksheet'!F32</f>
        <v xml:space="preserve">Hazmat disposal tipping fees:
→ Contaminated soil
</v>
      </c>
      <c r="G32" s="18" t="str">
        <f>'Quantities Worksheet'!G32</f>
        <v xml:space="preserve">Tipping fees:
→ Contaminated soil
</v>
      </c>
      <c r="H32" s="32"/>
      <c r="I32" s="418"/>
      <c r="J32" s="50"/>
      <c r="K32" s="50"/>
      <c r="L32" s="50"/>
      <c r="M32" s="50"/>
      <c r="N32" s="112">
        <f>'Unit Rates Worksheet'!S$27</f>
        <v>192.5</v>
      </c>
      <c r="O32" s="46"/>
      <c r="P32" s="92" t="str">
        <f>'Quantities Worksheet'!Q32</f>
        <v>tonne</v>
      </c>
      <c r="Q32" s="112">
        <f>RATE_TBL[[#This Row],[Variable3]]</f>
        <v>192.5</v>
      </c>
    </row>
    <row r="33" spans="2:17" ht="36">
      <c r="B33" s="47">
        <v>28</v>
      </c>
      <c r="C33" s="48"/>
      <c r="D33" s="49"/>
      <c r="E33" s="49">
        <f>'Quantities Worksheet'!E33</f>
        <v>3.08</v>
      </c>
      <c r="F33" s="18" t="str">
        <f>'Quantities Worksheet'!F33</f>
        <v xml:space="preserve">Hazmat disposal tipping fees:
→ Waste fuel and waste petrol products
</v>
      </c>
      <c r="G33" s="18" t="str">
        <f>'Quantities Worksheet'!G33</f>
        <v xml:space="preserve">Tipping fees:
→ Waste fuel and waste petrol products
</v>
      </c>
      <c r="H33" s="32"/>
      <c r="I33" s="418"/>
      <c r="J33" s="50"/>
      <c r="K33" s="50"/>
      <c r="L33" s="50"/>
      <c r="M33" s="50"/>
      <c r="N33" s="112">
        <f>'Unit Rates Worksheet'!S$28</f>
        <v>1.5</v>
      </c>
      <c r="O33" s="46"/>
      <c r="P33" s="92" t="str">
        <f>'Quantities Worksheet'!Q33</f>
        <v>L</v>
      </c>
      <c r="Q33" s="112">
        <f>RATE_TBL[[#This Row],[Variable3]]</f>
        <v>1.5</v>
      </c>
    </row>
    <row r="34" spans="2:17">
      <c r="B34" s="47">
        <v>29</v>
      </c>
      <c r="C34" s="48">
        <f>'Quantities Worksheet'!C34</f>
        <v>4</v>
      </c>
      <c r="D34" s="49" t="str">
        <f>'Quantities Worksheet'!D34</f>
        <v>Interim Care and Maintenance (ICM)</v>
      </c>
      <c r="E34" s="49"/>
      <c r="F34" s="18"/>
      <c r="G34" s="18"/>
      <c r="H34" s="32"/>
      <c r="I34" s="418"/>
      <c r="J34" s="382"/>
      <c r="K34" s="382"/>
      <c r="L34" s="50"/>
      <c r="M34" s="51"/>
      <c r="N34" s="50"/>
      <c r="O34" s="46"/>
      <c r="P34" s="92"/>
      <c r="Q34" s="112"/>
    </row>
    <row r="35" spans="2:17">
      <c r="B35" s="47">
        <v>30</v>
      </c>
      <c r="C35" s="48"/>
      <c r="D35" s="49" t="str">
        <f>'Quantities Worksheet'!D35</f>
        <v>a</v>
      </c>
      <c r="E35" s="49" t="str">
        <f>'Quantities Worksheet'!E35</f>
        <v>Site Inspection</v>
      </c>
      <c r="F35" s="18"/>
      <c r="G35" s="18"/>
      <c r="H35" s="32"/>
      <c r="I35" s="418"/>
      <c r="J35" s="382"/>
      <c r="K35" s="382"/>
      <c r="L35" s="50"/>
      <c r="M35" s="51"/>
      <c r="N35" s="50"/>
      <c r="O35" s="46"/>
      <c r="P35" s="92"/>
      <c r="Q35" s="112"/>
    </row>
    <row r="36" spans="2:17" ht="84">
      <c r="B36" s="47">
        <v>31</v>
      </c>
      <c r="C36" s="48"/>
      <c r="D36" s="49"/>
      <c r="E36" s="49">
        <f>'Quantities Worksheet'!E36</f>
        <v>4.01</v>
      </c>
      <c r="F36" s="18" t="str">
        <f>'Quantities Worksheet'!F36</f>
        <v xml:space="preserve">Site inspection/ monitoring by a Contractor (fly in by air)
</v>
      </c>
      <c r="G36" s="18" t="str">
        <f>'Quantities Worksheet'!G36</f>
        <v xml:space="preserve">Costs triggered by distance of site &gt; 0 km.
Travel to site:
→ Air or all-season road travel
→ 1 scientist + 1 labourer/ wildlife monitoring crew
</v>
      </c>
      <c r="H36" s="32"/>
      <c r="I36" s="418" t="str">
        <f>'Costing Questions'!B14&amp;", "&amp;'Costing Questions'!B15</f>
        <v>1, 2</v>
      </c>
      <c r="J36" s="203">
        <f>'Costing Questions'!E$14</f>
        <v>0</v>
      </c>
      <c r="K36" s="50" t="b">
        <f>K48</f>
        <v>0</v>
      </c>
      <c r="L36" s="112">
        <f>'Unit Rates Worksheet'!S$8*12+'Unit Rates Worksheet'!S$10*12</f>
        <v>2044.56</v>
      </c>
      <c r="M36" s="397">
        <f>ROUNDUP(RATE_TBL[[#This Row],[Information provided]]/otterspeed*2,1)*'Unit Rates Worksheet'!S$19</f>
        <v>0</v>
      </c>
      <c r="N36" s="397">
        <f>ROUNDUP(RATE_TBL[[#This Row],[Information provided]]/truckspeed*2/12,1)*'Unit Rates Worksheet'!S$20</f>
        <v>0</v>
      </c>
      <c r="O36" s="119"/>
      <c r="P36" s="92" t="str">
        <f>'Quantities Worksheet'!Q36</f>
        <v>cost</v>
      </c>
      <c r="Q36" s="112">
        <f>RATE_TBL[[#This Row],[Variable1]]+IF(RATE_TBL[[#This Row],[True/ False]]=TRUE,RATE_TBL[[#This Row],[Variable3]],RATE_TBL[[#This Row],[Variable2]])</f>
        <v>2044.56</v>
      </c>
    </row>
    <row r="37" spans="2:17">
      <c r="B37" s="47">
        <v>32</v>
      </c>
      <c r="C37" s="48"/>
      <c r="D37" s="49" t="str">
        <f>'Quantities Worksheet'!D37</f>
        <v>b</v>
      </c>
      <c r="E37" s="49" t="str">
        <f>'Quantities Worksheet'!E37</f>
        <v>ICM Monitoring</v>
      </c>
      <c r="F37" s="18"/>
      <c r="G37" s="18"/>
      <c r="H37" s="32"/>
      <c r="I37" s="418"/>
      <c r="J37" s="382"/>
      <c r="K37" s="382"/>
      <c r="L37" s="50"/>
      <c r="M37" s="51"/>
      <c r="N37" s="50"/>
      <c r="O37" s="46"/>
      <c r="P37" s="92"/>
      <c r="Q37" s="112"/>
    </row>
    <row r="38" spans="2:17" ht="48">
      <c r="B38" s="47">
        <v>33</v>
      </c>
      <c r="C38" s="48"/>
      <c r="D38" s="49"/>
      <c r="E38" s="49">
        <f>'Quantities Worksheet'!E38</f>
        <v>4.0199999999999996</v>
      </c>
      <c r="F38" s="18" t="str">
        <f>'Quantities Worksheet'!F38</f>
        <v xml:space="preserve">ICM geotechnical monitoring
</v>
      </c>
      <c r="G38" s="31" t="str">
        <f>'Quantities Worksheet'!G38</f>
        <v xml:space="preserve">Cost triggered by potential impacts of proposed project on Land:
→ Monitoring costs
</v>
      </c>
      <c r="H38" s="32"/>
      <c r="I38" s="418"/>
      <c r="J38" s="50"/>
      <c r="K38" s="50"/>
      <c r="L38" s="50"/>
      <c r="M38" s="50"/>
      <c r="N38" s="112">
        <f>'Unit Rates Worksheet'!S$32</f>
        <v>25000</v>
      </c>
      <c r="O38" s="46"/>
      <c r="P38" s="92" t="str">
        <f>'Quantities Worksheet'!Q38</f>
        <v>cost</v>
      </c>
      <c r="Q38" s="112">
        <f>RATE_TBL[[#This Row],[Variable3]]</f>
        <v>25000</v>
      </c>
    </row>
    <row r="39" spans="2:17" ht="48">
      <c r="B39" s="47">
        <v>34</v>
      </c>
      <c r="C39" s="48"/>
      <c r="D39" s="49"/>
      <c r="E39" s="49">
        <f>'Quantities Worksheet'!E39</f>
        <v>4.03</v>
      </c>
      <c r="F39" s="18" t="str">
        <f>'Quantities Worksheet'!F39</f>
        <v xml:space="preserve">ICM surface water quality/ ARD monitoring
</v>
      </c>
      <c r="G39" s="31" t="str">
        <f>'Quantities Worksheet'!G39</f>
        <v xml:space="preserve">Costs triggered by potential impacts of proposed project on Water:
→ Monitoring costs
</v>
      </c>
      <c r="H39" s="32"/>
      <c r="I39" s="418"/>
      <c r="J39" s="50"/>
      <c r="K39" s="50"/>
      <c r="L39" s="50"/>
      <c r="M39" s="50"/>
      <c r="N39" s="112">
        <f>'Unit Rates Worksheet'!S$33</f>
        <v>40000</v>
      </c>
      <c r="O39" s="46"/>
      <c r="P39" s="92" t="str">
        <f>'Quantities Worksheet'!Q39</f>
        <v>cost</v>
      </c>
      <c r="Q39" s="112">
        <f>RATE_TBL[[#This Row],[Variable3]]</f>
        <v>40000</v>
      </c>
    </row>
    <row r="40" spans="2:17">
      <c r="B40" s="47">
        <v>35</v>
      </c>
      <c r="C40" s="48">
        <f>'Quantities Worksheet'!C40</f>
        <v>5</v>
      </c>
      <c r="D40" s="49" t="str">
        <f>'Quantities Worksheet'!D40</f>
        <v>Mobilization, Camp, and Demobilization Costs</v>
      </c>
      <c r="E40" s="49"/>
      <c r="F40" s="18"/>
      <c r="G40" s="18"/>
      <c r="H40" s="32"/>
      <c r="I40" s="418"/>
      <c r="J40" s="382"/>
      <c r="K40" s="382"/>
      <c r="L40" s="50"/>
      <c r="M40" s="51"/>
      <c r="N40" s="50"/>
      <c r="O40" s="46"/>
      <c r="P40" s="92"/>
      <c r="Q40" s="112"/>
    </row>
    <row r="41" spans="2:17">
      <c r="B41" s="47">
        <v>36</v>
      </c>
      <c r="C41" s="48"/>
      <c r="D41" s="49" t="str">
        <f>'Quantities Worksheet'!D41</f>
        <v>a</v>
      </c>
      <c r="E41" s="49" t="str">
        <f>'Quantities Worksheet'!E41</f>
        <v>Mobilization of Heavy Equipment for the Reclamation Work, if required</v>
      </c>
      <c r="F41" s="18"/>
      <c r="G41" s="18"/>
      <c r="H41" s="32"/>
      <c r="I41" s="418"/>
      <c r="J41" s="382"/>
      <c r="K41" s="382"/>
      <c r="L41" s="50"/>
      <c r="M41" s="51"/>
      <c r="N41" s="50"/>
      <c r="O41" s="46"/>
      <c r="P41" s="92"/>
      <c r="Q41" s="112"/>
    </row>
    <row r="42" spans="2:17" ht="36">
      <c r="B42" s="47">
        <v>37</v>
      </c>
      <c r="C42" s="48"/>
      <c r="D42" s="49"/>
      <c r="E42" s="49">
        <f>'Quantities Worksheet'!E42</f>
        <v>5.01</v>
      </c>
      <c r="F42" s="18" t="str">
        <f>'Quantities Worksheet'!F42</f>
        <v>Will heavy equipment be required for the reclamation work?</v>
      </c>
      <c r="G42" s="18" t="str">
        <f>'Quantities Worksheet'!G42</f>
        <v xml:space="preserve">Costs triggered by heavy equipment work:
→ Restoration of land required
</v>
      </c>
      <c r="H42" s="32"/>
      <c r="I42" s="418"/>
      <c r="J42" s="50"/>
      <c r="K42" s="50"/>
      <c r="L42" s="50"/>
      <c r="M42" s="50"/>
      <c r="N42" s="50"/>
      <c r="O42" s="46"/>
      <c r="P42" s="92" t="str">
        <f>'Quantities Worksheet'!Q42</f>
        <v>Y/ N</v>
      </c>
      <c r="Q42" s="112" t="s">
        <v>42</v>
      </c>
    </row>
    <row r="43" spans="2:17" ht="24">
      <c r="B43" s="47">
        <v>38</v>
      </c>
      <c r="C43" s="48"/>
      <c r="D43" s="49"/>
      <c r="E43" s="49">
        <f>'Quantities Worksheet'!E43</f>
        <v>5.0199999999999996</v>
      </c>
      <c r="F43" s="18" t="str">
        <f>'Quantities Worksheet'!F43</f>
        <v xml:space="preserve">Construction of winter road for mobilization
</v>
      </c>
      <c r="G43" s="18"/>
      <c r="H43" s="32"/>
      <c r="I43" s="418">
        <f>'Costing Questions'!B23</f>
        <v>7</v>
      </c>
      <c r="J43" s="50"/>
      <c r="K43" s="50"/>
      <c r="L43" s="50"/>
      <c r="M43" s="50"/>
      <c r="N43" s="112" t="str">
        <f>Q$60</f>
        <v>n/a</v>
      </c>
      <c r="O43" s="46"/>
      <c r="P43" s="92" t="str">
        <f>'Quantities Worksheet'!Q43</f>
        <v>km</v>
      </c>
      <c r="Q43" s="112" t="str">
        <f>RATE_TBL[[#This Row],[Variable3]]</f>
        <v>n/a</v>
      </c>
    </row>
    <row r="44" spans="2:17" ht="60">
      <c r="B44" s="47">
        <v>39</v>
      </c>
      <c r="C44" s="48"/>
      <c r="D44" s="49"/>
      <c r="E44" s="49">
        <f>'Quantities Worksheet'!E44</f>
        <v>5.0299999999999994</v>
      </c>
      <c r="F44" s="18" t="str">
        <f>'Quantities Worksheet'!F44</f>
        <v xml:space="preserve">Mobilization of heavy equipment and materials for reclamation work
</v>
      </c>
      <c r="G44" s="18" t="str">
        <f>'Quantities Worksheet'!G44</f>
        <v xml:space="preserve">Equipment required for reclamation:
→ 1x 20T excavator (20T)
→ 2x 30T haul trucks (25T ea.)
→ 1x D6 bulldozer (25T)
</v>
      </c>
      <c r="H44" s="32"/>
      <c r="I44" s="418" t="str">
        <f>'Costing Questions'!B14&amp;", "&amp;'Costing Questions'!B15</f>
        <v>1, 2</v>
      </c>
      <c r="J44" s="50"/>
      <c r="K44" s="50"/>
      <c r="L44" s="50"/>
      <c r="M44" s="50"/>
      <c r="N44" s="112">
        <f>Q$61</f>
        <v>0</v>
      </c>
      <c r="O44" s="46"/>
      <c r="P44" s="92" t="str">
        <f>'Quantities Worksheet'!Q44</f>
        <v>tonnes</v>
      </c>
      <c r="Q44" s="112">
        <f>RATE_TBL[[#This Row],[Variable3]]</f>
        <v>0</v>
      </c>
    </row>
    <row r="45" spans="2:17" ht="36">
      <c r="B45" s="47">
        <v>40</v>
      </c>
      <c r="C45" s="48"/>
      <c r="D45" s="49"/>
      <c r="E45" s="49">
        <f>'Quantities Worksheet'!E45</f>
        <v>5.0399999999999991</v>
      </c>
      <c r="F45" s="18" t="str">
        <f>'Quantities Worksheet'!F45</f>
        <v xml:space="preserve">Mobilization of fuel for reclamation work
</v>
      </c>
      <c r="G45" s="18" t="str">
        <f>'Quantities Worksheet'!G45</f>
        <v xml:space="preserve">Fuel estimate based on total work calculation:
→ 100 L/ equipment/ day
</v>
      </c>
      <c r="H45" s="32"/>
      <c r="I45" s="418" t="str">
        <f>'Costing Questions'!B14&amp;", "&amp;'Costing Questions'!B15</f>
        <v>1, 2</v>
      </c>
      <c r="J45" s="50"/>
      <c r="K45" s="50"/>
      <c r="L45" s="50"/>
      <c r="M45" s="50"/>
      <c r="N45" s="112">
        <f>Q$61</f>
        <v>0</v>
      </c>
      <c r="O45" s="46"/>
      <c r="P45" s="92" t="str">
        <f>'Quantities Worksheet'!Q45</f>
        <v>tonnes</v>
      </c>
      <c r="Q45" s="112">
        <f>RATE_TBL[[#This Row],[Variable3]]</f>
        <v>0</v>
      </c>
    </row>
    <row r="46" spans="2:17" ht="36">
      <c r="B46" s="47">
        <v>41</v>
      </c>
      <c r="C46" s="48"/>
      <c r="D46" s="49"/>
      <c r="E46" s="49">
        <f>'Quantities Worksheet'!E46</f>
        <v>5.0499999999999989</v>
      </c>
      <c r="F46" s="18" t="str">
        <f>'Quantities Worksheet'!F46</f>
        <v xml:space="preserve">Contingency
</v>
      </c>
      <c r="G46" s="21" t="str">
        <f>'Quantities Worksheet'!G46</f>
        <v xml:space="preserve">Contingency cost for variability in environmental and pricing factors
</v>
      </c>
      <c r="H46" s="33"/>
      <c r="I46" s="418"/>
      <c r="J46" s="50"/>
      <c r="K46" s="50"/>
      <c r="L46" s="50"/>
      <c r="M46" s="50"/>
      <c r="N46" s="50"/>
      <c r="O46" s="46"/>
      <c r="P46" s="92" t="str">
        <f>'Quantities Worksheet'!Q46</f>
        <v>%</v>
      </c>
      <c r="Q46" s="112" t="s">
        <v>42</v>
      </c>
    </row>
    <row r="47" spans="2:17">
      <c r="B47" s="47">
        <v>42</v>
      </c>
      <c r="C47" s="48"/>
      <c r="D47" s="49" t="str">
        <f>'Quantities Worksheet'!D47</f>
        <v>b</v>
      </c>
      <c r="E47" s="49" t="str">
        <f>'Quantities Worksheet'!E47</f>
        <v>Mobilization and Demobilization of Workers and Supplies for the Reclamation Work</v>
      </c>
      <c r="F47" s="18"/>
      <c r="G47" s="18"/>
      <c r="H47" s="32"/>
      <c r="I47" s="418"/>
      <c r="J47" s="382"/>
      <c r="K47" s="382"/>
      <c r="L47" s="50"/>
      <c r="M47" s="51"/>
      <c r="N47" s="50"/>
      <c r="O47" s="46"/>
      <c r="P47" s="92"/>
      <c r="Q47" s="112"/>
    </row>
    <row r="48" spans="2:17" ht="72">
      <c r="B48" s="47">
        <v>43</v>
      </c>
      <c r="C48" s="48"/>
      <c r="D48" s="49"/>
      <c r="E48" s="49">
        <f>'Quantities Worksheet'!E48</f>
        <v>5.0599999999999996</v>
      </c>
      <c r="F48" s="18" t="str">
        <f>'Quantities Worksheet'!F48</f>
        <v xml:space="preserve">Mobilization of workers
</v>
      </c>
      <c r="G48" s="18" t="str">
        <f>'Quantities Worksheet'!G48</f>
        <v xml:space="preserve">6x person base work crew (@ 125kg w/ gear per person):
→ 4 local workers
→ 1 supervisor
→ 1 support
</v>
      </c>
      <c r="H48" s="32"/>
      <c r="I48" s="418" t="str">
        <f>'Costing Questions'!B14&amp;", "&amp;'Costing Questions'!B15</f>
        <v>1, 2</v>
      </c>
      <c r="J48" s="203">
        <f>'Costing Questions'!E$15</f>
        <v>0</v>
      </c>
      <c r="K48" s="322" t="b">
        <f>RATE_TBL[[#This Row],[Information provided]]=allseasonroad</f>
        <v>0</v>
      </c>
      <c r="L48" s="421">
        <f>M61/1000</f>
        <v>0</v>
      </c>
      <c r="M48" s="420">
        <f>ROUND(N36/truckload,2)</f>
        <v>0</v>
      </c>
      <c r="N48" s="50"/>
      <c r="O48" s="119"/>
      <c r="P48" s="92" t="str">
        <f>'Quantities Worksheet'!Q48</f>
        <v>kg</v>
      </c>
      <c r="Q48" s="112">
        <f>IF(RATE_TBL[[#This Row],[True/ False]]=TRUE,RATE_TBL[[#This Row],[Variable2]],RATE_TBL[[#This Row],[Variable1]])</f>
        <v>0</v>
      </c>
    </row>
    <row r="49" spans="2:17" ht="24">
      <c r="B49" s="47">
        <v>44</v>
      </c>
      <c r="C49" s="48"/>
      <c r="D49" s="49"/>
      <c r="E49" s="49">
        <f>'Quantities Worksheet'!E49</f>
        <v>5.07</v>
      </c>
      <c r="F49" s="18" t="str">
        <f>'Quantities Worksheet'!F49</f>
        <v xml:space="preserve">Mobilization of operators, if required
</v>
      </c>
      <c r="G49" s="18" t="str">
        <f>'Quantities Worksheet'!G49</f>
        <v>4x operators</v>
      </c>
      <c r="H49" s="32"/>
      <c r="I49" s="418" t="str">
        <f>'Costing Questions'!B14&amp;", "&amp;'Costing Questions'!B15</f>
        <v>1, 2</v>
      </c>
      <c r="J49" s="382"/>
      <c r="K49" s="382"/>
      <c r="L49" s="50"/>
      <c r="M49" s="51"/>
      <c r="N49" s="112">
        <f>Q$48</f>
        <v>0</v>
      </c>
      <c r="O49" s="77"/>
      <c r="P49" s="92" t="str">
        <f>'Quantities Worksheet'!Q49</f>
        <v>kg</v>
      </c>
      <c r="Q49" s="112">
        <f>RATE_TBL[[#This Row],[Variable3]]</f>
        <v>0</v>
      </c>
    </row>
    <row r="50" spans="2:17" ht="252">
      <c r="B50" s="47">
        <v>45</v>
      </c>
      <c r="C50" s="48"/>
      <c r="D50" s="49"/>
      <c r="E50" s="49">
        <f>'Quantities Worksheet'!E50</f>
        <v>5.08</v>
      </c>
      <c r="F50" s="18" t="str">
        <f>'Quantities Worksheet'!F50</f>
        <v xml:space="preserve">Mobilization of camp and supplies
</v>
      </c>
      <c r="G50" s="18" t="str">
        <f>'Quantities Worksheet'!G50</f>
        <v xml:space="preserve">Cost balalnce min. 7 days to trigger camp (i.e., 5 flights of camp mob):
→ otherwise daily mob of workers
Camp:
→ x2 sleeper
→ 1x kitchen facility
→ standard pact
→ bear fence
→ 2000 kg for camp
→ 1500 kg for wood
→ 1000 kg for fuel (1 barrel/ week for tents, 1 barrel/ week for genset)
→ 1000 kg for tool and supplies
+ 1x sleeper for 4x operators:
→ 500 kg camp
→ 500 kg wood
→ 500 kg  fuel
</v>
      </c>
      <c r="H50" s="32"/>
      <c r="I50" s="418" t="str">
        <f>'Costing Questions'!B14&amp;", "&amp;'Costing Questions'!B15</f>
        <v>1, 2</v>
      </c>
      <c r="J50" s="382"/>
      <c r="K50" s="382"/>
      <c r="L50" s="50"/>
      <c r="M50" s="51"/>
      <c r="N50" s="115">
        <f>Q$48</f>
        <v>0</v>
      </c>
      <c r="O50" s="46"/>
      <c r="P50" s="92" t="str">
        <f>'Quantities Worksheet'!Q50</f>
        <v>kg</v>
      </c>
      <c r="Q50" s="112">
        <f>RATE_TBL[[#This Row],[Variable3]]</f>
        <v>0</v>
      </c>
    </row>
    <row r="51" spans="2:17" ht="36">
      <c r="B51" s="47">
        <v>46</v>
      </c>
      <c r="C51" s="48"/>
      <c r="D51" s="49"/>
      <c r="E51" s="49" t="str">
        <f>'Quantities Worksheet'!E51</f>
        <v>5.08a</v>
      </c>
      <c r="F51" s="18" t="str">
        <f>'Quantities Worksheet'!F51</f>
        <v xml:space="preserve">Additional daily mobilization of workers if there is no site camp
</v>
      </c>
      <c r="G51" s="18"/>
      <c r="H51" s="32"/>
      <c r="I51" s="418" t="str">
        <f>'Costing Questions'!B14&amp;", "&amp;'Costing Questions'!B15</f>
        <v>1, 2</v>
      </c>
      <c r="J51" s="382"/>
      <c r="K51" s="322"/>
      <c r="L51" s="71">
        <f>'Quantities Worksheet'!P48+'Quantities Worksheet'!P49</f>
        <v>750</v>
      </c>
      <c r="M51" s="112">
        <f>RATE_TBL[[#This Row],[Variable1]]*Q48</f>
        <v>0</v>
      </c>
      <c r="N51" s="50"/>
      <c r="O51" s="46"/>
      <c r="P51" s="92" t="s">
        <v>73</v>
      </c>
      <c r="Q51" s="112">
        <f>RATE_TBL[[#This Row],[Variable2]]</f>
        <v>0</v>
      </c>
    </row>
    <row r="52" spans="2:17" ht="24">
      <c r="B52" s="47">
        <v>47</v>
      </c>
      <c r="C52" s="48"/>
      <c r="D52" s="49"/>
      <c r="E52" s="49">
        <f>'Quantities Worksheet'!E52</f>
        <v>5.09</v>
      </c>
      <c r="F52" s="18" t="str">
        <f>'Quantities Worksheet'!F52</f>
        <v xml:space="preserve">Demobilization of workers (and operators)
</v>
      </c>
      <c r="G52" s="18"/>
      <c r="H52" s="32"/>
      <c r="I52" s="418" t="str">
        <f>'Costing Questions'!B14&amp;", "&amp;'Costing Questions'!B15</f>
        <v>1, 2</v>
      </c>
      <c r="J52" s="382"/>
      <c r="K52" s="382"/>
      <c r="L52" s="50"/>
      <c r="M52" s="51"/>
      <c r="N52" s="115">
        <f>Q$48</f>
        <v>0</v>
      </c>
      <c r="O52" s="46"/>
      <c r="P52" s="92" t="str">
        <f>'Quantities Worksheet'!Q52</f>
        <v>kg</v>
      </c>
      <c r="Q52" s="112">
        <f>RATE_TBL[[#This Row],[Variable3]]</f>
        <v>0</v>
      </c>
    </row>
    <row r="53" spans="2:17" ht="72">
      <c r="B53" s="47">
        <v>48</v>
      </c>
      <c r="C53" s="48"/>
      <c r="D53" s="49"/>
      <c r="E53" s="49">
        <f>'Quantities Worksheet'!E53</f>
        <v>5.0999999999999996</v>
      </c>
      <c r="F53" s="18" t="str">
        <f>'Quantities Worksheet'!F53</f>
        <v xml:space="preserve">Demobilization of camp
</v>
      </c>
      <c r="G53" s="18" t="str">
        <f>'Quantities Worksheet'!G53</f>
        <v xml:space="preserve">Assume: 
→ 2000 kg for camp
→ 1000 kg for tool and supplies
→ 500 kg for operator sleeper, if required
</v>
      </c>
      <c r="H53" s="32"/>
      <c r="I53" s="418" t="str">
        <f>'Costing Questions'!B14&amp;", "&amp;'Costing Questions'!B15</f>
        <v>1, 2</v>
      </c>
      <c r="J53" s="382"/>
      <c r="K53" s="382"/>
      <c r="L53" s="50"/>
      <c r="M53" s="51"/>
      <c r="N53" s="115">
        <f>Q$48</f>
        <v>0</v>
      </c>
      <c r="O53" s="46"/>
      <c r="P53" s="92" t="str">
        <f>'Quantities Worksheet'!Q53</f>
        <v>kg</v>
      </c>
      <c r="Q53" s="112">
        <f>RATE_TBL[[#This Row],[Variable3]]</f>
        <v>0</v>
      </c>
    </row>
    <row r="54" spans="2:17" ht="36">
      <c r="B54" s="47">
        <v>49</v>
      </c>
      <c r="C54" s="48"/>
      <c r="D54" s="49"/>
      <c r="E54" s="49">
        <f>'Quantities Worksheet'!E54</f>
        <v>5.1100000000000003</v>
      </c>
      <c r="F54" s="18" t="str">
        <f>'Quantities Worksheet'!F54</f>
        <v xml:space="preserve">Contingency
</v>
      </c>
      <c r="G54" s="21" t="str">
        <f>'Quantities Worksheet'!G54</f>
        <v xml:space="preserve">Contingency cost for variability in environmental and pricing factors
</v>
      </c>
      <c r="H54" s="33"/>
      <c r="I54" s="418"/>
      <c r="J54" s="383"/>
      <c r="K54" s="383"/>
      <c r="L54" s="125"/>
      <c r="M54" s="51"/>
      <c r="N54" s="50"/>
      <c r="O54" s="46"/>
      <c r="P54" s="92" t="str">
        <f>'Quantities Worksheet'!Q54</f>
        <v>%</v>
      </c>
      <c r="Q54" s="112" t="s">
        <v>42</v>
      </c>
    </row>
    <row r="55" spans="2:17">
      <c r="B55" s="47">
        <v>50</v>
      </c>
      <c r="C55" s="48"/>
      <c r="D55" s="49" t="str">
        <f>'Quantities Worksheet'!D55</f>
        <v>c</v>
      </c>
      <c r="E55" s="49" t="str">
        <f>'Quantities Worksheet'!E55</f>
        <v>Camp for the Reclamation Work</v>
      </c>
      <c r="F55" s="18"/>
      <c r="G55" s="18"/>
      <c r="H55" s="32"/>
      <c r="I55" s="418"/>
      <c r="J55" s="382"/>
      <c r="K55" s="382"/>
      <c r="L55" s="50"/>
      <c r="M55" s="51"/>
      <c r="N55" s="50"/>
      <c r="O55" s="46"/>
      <c r="P55" s="92"/>
      <c r="Q55" s="112"/>
    </row>
    <row r="56" spans="2:17" ht="48">
      <c r="B56" s="47">
        <v>51</v>
      </c>
      <c r="C56" s="48"/>
      <c r="D56" s="49"/>
      <c r="E56" s="49">
        <f>'Quantities Worksheet'!E56</f>
        <v>5.12</v>
      </c>
      <c r="F56" s="18" t="str">
        <f>'Quantities Worksheet'!F56</f>
        <v xml:space="preserve">Supply of reclamation camp
* or if less than 7 calculated working days - daily mobilization and demobilization of workers
</v>
      </c>
      <c r="G56" s="18" t="str">
        <f>'Quantities Worksheet'!G56</f>
        <v xml:space="preserve">Costs triggered by distance of site &gt; 0 km.
</v>
      </c>
      <c r="H56" s="32"/>
      <c r="I56" s="418">
        <f>'Costing Questions'!B14</f>
        <v>1</v>
      </c>
      <c r="J56" s="200">
        <f>'Costing Questions'!E$14</f>
        <v>0</v>
      </c>
      <c r="K56" s="382" t="b">
        <f>RATE_TBL[[#This Row],[Information provided]]&gt;0</f>
        <v>0</v>
      </c>
      <c r="L56" s="73">
        <f>'Quantities Worksheet'!M57</f>
        <v>0</v>
      </c>
      <c r="M56" s="115">
        <f>'Unit Rates Worksheet'!S$21*RATE_TBL[[#This Row],[Variable1]]</f>
        <v>0</v>
      </c>
      <c r="N56" s="112" t="s">
        <v>42</v>
      </c>
      <c r="O56" s="119"/>
      <c r="P56" s="92" t="str">
        <f>'Quantities Worksheet'!Q56</f>
        <v>ea.</v>
      </c>
      <c r="Q56" s="112" t="str">
        <f>IF(RATE_TBL[[#This Row],[True/ False]]=TRUE,RATE_TBL[[#This Row],[Variable2]],RATE_TBL[[#This Row],[Variable3]])</f>
        <v>n/a</v>
      </c>
    </row>
    <row r="57" spans="2:17" ht="48">
      <c r="B57" s="47">
        <v>52</v>
      </c>
      <c r="C57" s="48"/>
      <c r="D57" s="49"/>
      <c r="E57" s="49">
        <f>'Quantities Worksheet'!E57</f>
        <v>5.13</v>
      </c>
      <c r="F57" s="18" t="str">
        <f>'Quantities Worksheet'!F57</f>
        <v xml:space="preserve">Operation of reclamation camp/ accommodations and meals
</v>
      </c>
      <c r="G57" s="18" t="str">
        <f>'Quantities Worksheet'!G57</f>
        <v xml:space="preserve">Work days based on total work calculation:
→ 6 person crew
</v>
      </c>
      <c r="H57" s="32"/>
      <c r="I57" s="418"/>
      <c r="J57" s="439"/>
      <c r="K57" s="382"/>
      <c r="L57" s="50"/>
      <c r="M57" s="51"/>
      <c r="N57" s="112">
        <f>'Unit Rates Worksheet'!S$22</f>
        <v>75</v>
      </c>
      <c r="O57" s="46"/>
      <c r="P57" s="92" t="str">
        <f>'Quantities Worksheet'!Q57</f>
        <v>persondays</v>
      </c>
      <c r="Q57" s="112" t="str">
        <f>IF(K56=TRUE,RATE_TBL[[#This Row],[Variable3]],N56)</f>
        <v>n/a</v>
      </c>
    </row>
    <row r="58" spans="2:17">
      <c r="B58" s="47">
        <v>53</v>
      </c>
      <c r="C58" s="48"/>
      <c r="D58" s="49" t="str">
        <f>'Quantities Worksheet'!D58</f>
        <v>d</v>
      </c>
      <c r="E58" s="49" t="str">
        <f>'Quantities Worksheet'!E58</f>
        <v>Demobilization of Abandoned Equipment and Materials (+ Heavy Equipment mobilized for the Reclamation Work, if required)</v>
      </c>
      <c r="F58" s="18"/>
      <c r="G58" s="18"/>
      <c r="H58" s="32"/>
      <c r="I58" s="418"/>
      <c r="J58" s="382"/>
      <c r="K58" s="382"/>
      <c r="L58" s="50"/>
      <c r="M58" s="51"/>
      <c r="N58" s="50"/>
      <c r="O58" s="46"/>
      <c r="P58" s="92"/>
      <c r="Q58" s="112"/>
    </row>
    <row r="59" spans="2:17">
      <c r="B59" s="47">
        <v>54</v>
      </c>
      <c r="C59" s="48"/>
      <c r="D59" s="49"/>
      <c r="E59" s="49">
        <f>'Quantities Worksheet'!E59</f>
        <v>5.14</v>
      </c>
      <c r="F59" s="18" t="str">
        <f>'Quantities Worksheet'!F59</f>
        <v>Is the project land-accessible?</v>
      </c>
      <c r="G59" s="18" t="str">
        <f>'Quantities Worksheet'!G59</f>
        <v>Unit rate trigger for land vs. air demob rates</v>
      </c>
      <c r="H59" s="32"/>
      <c r="I59" s="418"/>
      <c r="J59" s="382"/>
      <c r="K59" s="382"/>
      <c r="L59" s="50"/>
      <c r="M59" s="51"/>
      <c r="N59" s="50" t="s">
        <v>42</v>
      </c>
      <c r="O59" s="46"/>
      <c r="P59" s="92" t="str">
        <f>'Quantities Worksheet'!Q59</f>
        <v>Y/ N</v>
      </c>
      <c r="Q59" s="112" t="str">
        <f>RATE_TBL[[#This Row],[Variable3]]</f>
        <v>n/a</v>
      </c>
    </row>
    <row r="60" spans="2:17" ht="36">
      <c r="B60" s="47">
        <v>55</v>
      </c>
      <c r="C60" s="48"/>
      <c r="D60" s="49"/>
      <c r="E60" s="49">
        <f>'Quantities Worksheet'!E60</f>
        <v>5.15</v>
      </c>
      <c r="F60" s="18" t="str">
        <f>'Quantities Worksheet'!F60</f>
        <v xml:space="preserve">Construction of winter road for demobilization, if required
</v>
      </c>
      <c r="G60" s="18"/>
      <c r="H60" s="32"/>
      <c r="I60" s="418">
        <f>'Costing Questions'!B23</f>
        <v>7</v>
      </c>
      <c r="J60" s="387">
        <f>'Costing Questions'!E$23</f>
        <v>0</v>
      </c>
      <c r="K60" s="382"/>
      <c r="L60" s="115">
        <f>'Unit Rates Worksheet'!S$30</f>
        <v>1000</v>
      </c>
      <c r="M60" s="112">
        <f>'Unit Rates Worksheet'!S$31</f>
        <v>13000</v>
      </c>
      <c r="N60" s="444" t="s">
        <v>42</v>
      </c>
      <c r="O60" s="46"/>
      <c r="P60" s="92" t="str">
        <f>'Quantities Worksheet'!Q60</f>
        <v>km</v>
      </c>
      <c r="Q60" s="112" t="str">
        <f>IF(RATE_TBL[[#This Row],[Information provided]]=wintertrail,RATE_TBL[[#This Row],[Variable1]],IF(RATE_TBL[[#This Row],[Information provided]]=iceroad,RATE_TBL[[#This Row],[Variable2]],RATE_TBL[[#This Row],[Variable3]]))</f>
        <v>n/a</v>
      </c>
    </row>
    <row r="61" spans="2:17" ht="60">
      <c r="B61" s="47">
        <v>56</v>
      </c>
      <c r="C61" s="48"/>
      <c r="D61" s="49"/>
      <c r="E61" s="49">
        <f>'Quantities Worksheet'!E61</f>
        <v>5.16</v>
      </c>
      <c r="F61" s="18" t="str">
        <f>'Quantities Worksheet'!F61</f>
        <v xml:space="preserve">Demobilization of abandoned camp&amp; equipment, debris and wastes
</v>
      </c>
      <c r="G61" s="18" t="str">
        <f>'Quantities Worksheet'!G61</f>
        <v xml:space="preserve">Demobilization of:
→ Camp and equipment
→ Hazardous solid waste
→ Hazardous liquid waste
</v>
      </c>
      <c r="H61" s="32"/>
      <c r="I61" s="418" t="str">
        <f>'Costing Questions'!B14&amp;", "&amp;'Costing Questions'!B15</f>
        <v>1, 2</v>
      </c>
      <c r="J61" s="200">
        <f>'Costing Questions'!E$14</f>
        <v>0</v>
      </c>
      <c r="K61" s="387">
        <f>'Costing Questions'!E$15</f>
        <v>0</v>
      </c>
      <c r="L61" s="388">
        <f>ROUNDUP(ROUNDUP(RATE_TBL[[#This Row],[Information provided]]/tractorspeed*2,2)*'Unit Rates Worksheet'!S$18/tractorload,2)</f>
        <v>0</v>
      </c>
      <c r="M61" s="388">
        <f>ROUNDUP(ROUNDUP(RATE_TBL[[#This Row],[Information provided]]/otterspeed*2,2)*'Unit Rates Worksheet'!S$19/otterload*1000,2)</f>
        <v>0</v>
      </c>
      <c r="N61" s="389">
        <f>'Project-Specific Costs'!I$12</f>
        <v>0</v>
      </c>
      <c r="O61" s="126"/>
      <c r="P61" s="92" t="str">
        <f>'Quantities Worksheet'!Q61</f>
        <v>tonne</v>
      </c>
      <c r="Q61" s="112">
        <f>IF(RATE_TBL[[#This Row],[Variable3]]&gt;0,RATE_TBL[[#This Row],[Variable3]],IF(OR(K61=allseasonroad,K61=winterroad),RATE_TBL[[#This Row],[Variable1]],RATE_TBL[[#This Row],[Variable2]]))</f>
        <v>0</v>
      </c>
    </row>
    <row r="62" spans="2:17" ht="36">
      <c r="B62" s="47">
        <v>57</v>
      </c>
      <c r="C62" s="48"/>
      <c r="D62" s="49"/>
      <c r="E62" s="49">
        <f>'Quantities Worksheet'!E62</f>
        <v>5.17</v>
      </c>
      <c r="F62" s="18" t="str">
        <f>'Quantities Worksheet'!F62</f>
        <v xml:space="preserve">Demobilization of heavy equipment for reclamation, if mobilized
</v>
      </c>
      <c r="G62" s="18"/>
      <c r="H62" s="32"/>
      <c r="I62" s="418" t="str">
        <f>'Costing Questions'!B14&amp;", "&amp;'Costing Questions'!B15</f>
        <v>1, 2</v>
      </c>
      <c r="J62" s="382"/>
      <c r="K62" s="382"/>
      <c r="L62" s="50"/>
      <c r="M62" s="51"/>
      <c r="N62" s="112">
        <f>Q$61</f>
        <v>0</v>
      </c>
      <c r="O62" s="46"/>
      <c r="P62" s="92" t="str">
        <f>'Quantities Worksheet'!Q62</f>
        <v>tonnes</v>
      </c>
      <c r="Q62" s="112">
        <f>RATE_TBL[[#This Row],[Variable3]]</f>
        <v>0</v>
      </c>
    </row>
    <row r="63" spans="2:17" ht="24">
      <c r="B63" s="47">
        <v>58</v>
      </c>
      <c r="C63" s="48"/>
      <c r="D63" s="49"/>
      <c r="E63" s="49">
        <f>'Quantities Worksheet'!E63</f>
        <v>5.18</v>
      </c>
      <c r="F63" s="18" t="str">
        <f>'Quantities Worksheet'!F63</f>
        <v xml:space="preserve">Demobilization of reclamation fuel containers
</v>
      </c>
      <c r="G63" s="18"/>
      <c r="H63" s="32"/>
      <c r="I63" s="418" t="str">
        <f>'Costing Questions'!B14&amp;", "&amp;'Costing Questions'!B15</f>
        <v>1, 2</v>
      </c>
      <c r="J63" s="382"/>
      <c r="K63" s="382"/>
      <c r="L63" s="50"/>
      <c r="M63" s="51"/>
      <c r="N63" s="112">
        <f>Q$61</f>
        <v>0</v>
      </c>
      <c r="O63" s="46"/>
      <c r="P63" s="92" t="str">
        <f>'Quantities Worksheet'!Q63</f>
        <v>tonnes</v>
      </c>
      <c r="Q63" s="112">
        <f>RATE_TBL[[#This Row],[Variable3]]</f>
        <v>0</v>
      </c>
    </row>
    <row r="64" spans="2:17" ht="36">
      <c r="B64" s="47">
        <v>59</v>
      </c>
      <c r="C64" s="48"/>
      <c r="D64" s="49"/>
      <c r="E64" s="49">
        <f>'Quantities Worksheet'!E64</f>
        <v>5.19</v>
      </c>
      <c r="F64" s="18" t="str">
        <f>'Quantities Worksheet'!F64</f>
        <v xml:space="preserve">Contingency
</v>
      </c>
      <c r="G64" s="21" t="str">
        <f>'Quantities Worksheet'!G64</f>
        <v xml:space="preserve">Contingency cost for variability in environmental and pricing factors
</v>
      </c>
      <c r="H64" s="33"/>
      <c r="I64" s="418"/>
      <c r="J64" s="383"/>
      <c r="K64" s="383"/>
      <c r="L64" s="125"/>
      <c r="M64" s="51"/>
      <c r="N64" s="50"/>
      <c r="O64" s="46"/>
      <c r="P64" s="92" t="str">
        <f>'Quantities Worksheet'!Q64</f>
        <v>%</v>
      </c>
      <c r="Q64" s="112" t="s">
        <v>42</v>
      </c>
    </row>
    <row r="65" spans="2:17">
      <c r="B65" s="47">
        <v>60</v>
      </c>
      <c r="C65" s="48">
        <f>'Quantities Worksheet'!C65</f>
        <v>6</v>
      </c>
      <c r="D65" s="49" t="str">
        <f>'Quantities Worksheet'!D65</f>
        <v>Development of Detailed Closure and Reclamation Plan (CRP)</v>
      </c>
      <c r="E65" s="49"/>
      <c r="F65" s="18"/>
      <c r="G65" s="18"/>
      <c r="H65" s="32"/>
      <c r="I65" s="418"/>
      <c r="J65" s="382"/>
      <c r="K65" s="382"/>
      <c r="L65" s="50"/>
      <c r="M65" s="51"/>
      <c r="N65" s="50"/>
      <c r="O65" s="46"/>
      <c r="P65" s="92"/>
      <c r="Q65" s="112"/>
    </row>
    <row r="66" spans="2:17">
      <c r="B66" s="47">
        <v>61</v>
      </c>
      <c r="C66" s="48"/>
      <c r="D66" s="49" t="str">
        <f>'Quantities Worksheet'!D66</f>
        <v>a</v>
      </c>
      <c r="E66" s="49" t="str">
        <f>'Quantities Worksheet'!E66</f>
        <v>Engagement Costs</v>
      </c>
      <c r="F66" s="18"/>
      <c r="G66" s="18"/>
      <c r="H66" s="32"/>
      <c r="I66" s="418"/>
      <c r="J66" s="382"/>
      <c r="K66" s="382"/>
      <c r="L66" s="50"/>
      <c r="M66" s="51"/>
      <c r="N66" s="50"/>
      <c r="O66" s="46"/>
      <c r="P66" s="92"/>
      <c r="Q66" s="112"/>
    </row>
    <row r="67" spans="2:17" ht="60">
      <c r="B67" s="47">
        <v>62</v>
      </c>
      <c r="C67" s="48"/>
      <c r="D67" s="49"/>
      <c r="E67" s="49">
        <f>'Quantities Worksheet'!E67</f>
        <v>6.01</v>
      </c>
      <c r="F67" s="18" t="str">
        <f>'Quantities Worksheet'!F67</f>
        <v xml:space="preserve">Engagement Costs
</v>
      </c>
      <c r="G67" s="18" t="str">
        <f>'Quantities Worksheet'!G67</f>
        <v xml:space="preserve">Cost triggered if a detailed Closure and Reclamation Plan is required:
→ Engagement costs if further development of a Reclamation and Closure Plan is required
</v>
      </c>
      <c r="H67" s="32"/>
      <c r="I67" s="418"/>
      <c r="J67" s="382"/>
      <c r="K67" s="382"/>
      <c r="L67" s="50"/>
      <c r="M67" s="51"/>
      <c r="N67" s="112">
        <f>'Unit Rates Worksheet'!S$34</f>
        <v>15000</v>
      </c>
      <c r="O67" s="46"/>
      <c r="P67" s="92" t="str">
        <f>'Quantities Worksheet'!Q67</f>
        <v>cost</v>
      </c>
      <c r="Q67" s="112">
        <f>RATE_TBL[[#This Row],[Variable3]]</f>
        <v>15000</v>
      </c>
    </row>
    <row r="68" spans="2:17">
      <c r="B68" s="47">
        <v>63</v>
      </c>
      <c r="C68" s="48"/>
      <c r="D68" s="49" t="str">
        <f>'Quantities Worksheet'!D68</f>
        <v>b</v>
      </c>
      <c r="E68" s="49" t="str">
        <f>'Quantities Worksheet'!E68</f>
        <v>Regulatory Compliance Costs</v>
      </c>
      <c r="F68" s="18"/>
      <c r="G68" s="18"/>
      <c r="H68" s="32"/>
      <c r="I68" s="418"/>
      <c r="J68" s="382"/>
      <c r="K68" s="382"/>
      <c r="L68" s="50"/>
      <c r="M68" s="51"/>
      <c r="N68" s="50"/>
      <c r="O68" s="46"/>
      <c r="P68" s="92"/>
      <c r="Q68" s="112"/>
    </row>
    <row r="69" spans="2:17" ht="48">
      <c r="B69" s="47">
        <v>64</v>
      </c>
      <c r="C69" s="48"/>
      <c r="D69" s="49"/>
      <c r="E69" s="49">
        <f>'Quantities Worksheet'!E69</f>
        <v>6.02</v>
      </c>
      <c r="F69" s="18" t="str">
        <f>'Quantities Worksheet'!F69</f>
        <v xml:space="preserve">Regulatory Compliance Costs
</v>
      </c>
      <c r="G69" s="18" t="str">
        <f>'Quantities Worksheet'!G69</f>
        <v xml:space="preserve">Cost triggered if a detailed Closure and Reclamation Plan is required:
→ Permitting and legal costs for reclamation work
</v>
      </c>
      <c r="H69" s="32"/>
      <c r="I69" s="418"/>
      <c r="J69" s="382"/>
      <c r="K69" s="382"/>
      <c r="L69" s="50"/>
      <c r="M69" s="51"/>
      <c r="N69" s="112">
        <f>'Unit Rates Worksheet'!S$35</f>
        <v>15000</v>
      </c>
      <c r="O69" s="46"/>
      <c r="P69" s="92" t="str">
        <f>'Quantities Worksheet'!Q69</f>
        <v>cost</v>
      </c>
      <c r="Q69" s="112">
        <f>RATE_TBL[[#This Row],[Variable3]]</f>
        <v>15000</v>
      </c>
    </row>
    <row r="70" spans="2:17">
      <c r="B70" s="47">
        <v>65</v>
      </c>
      <c r="C70" s="48"/>
      <c r="D70" s="49" t="str">
        <f>'Quantities Worksheet'!D70</f>
        <v>c</v>
      </c>
      <c r="E70" s="49" t="str">
        <f>'Quantities Worksheet'!E70</f>
        <v>Detailed Closure and Reclamation Plan</v>
      </c>
      <c r="F70" s="18"/>
      <c r="G70" s="18"/>
      <c r="H70" s="32"/>
      <c r="I70" s="418"/>
      <c r="J70" s="382"/>
      <c r="K70" s="382"/>
      <c r="L70" s="50"/>
      <c r="M70" s="51"/>
      <c r="N70" s="50"/>
      <c r="O70" s="46"/>
      <c r="P70" s="92"/>
      <c r="Q70" s="112"/>
    </row>
    <row r="71" spans="2:17" ht="36">
      <c r="B71" s="47">
        <v>66</v>
      </c>
      <c r="C71" s="48"/>
      <c r="D71" s="49"/>
      <c r="E71" s="49">
        <f>'Quantities Worksheet'!E71</f>
        <v>6.03</v>
      </c>
      <c r="F71" s="18" t="str">
        <f>'Quantities Worksheet'!F71</f>
        <v xml:space="preserve">Detailed Closure and Reclamation Plan (Engineering, Research)
</v>
      </c>
      <c r="G71" s="18" t="str">
        <f>'Quantities Worksheet'!G71</f>
        <v xml:space="preserve">Cost triggered if a detailed Closure and Reclamation Plan is required.
</v>
      </c>
      <c r="H71" s="32"/>
      <c r="I71" s="418"/>
      <c r="J71" s="382"/>
      <c r="K71" s="382"/>
      <c r="L71" s="50"/>
      <c r="M71" s="51"/>
      <c r="N71" s="112">
        <f>'Unit Rates Worksheet'!S$36</f>
        <v>30000</v>
      </c>
      <c r="O71" s="46"/>
      <c r="P71" s="92" t="str">
        <f>'Quantities Worksheet'!Q71</f>
        <v>cost</v>
      </c>
      <c r="Q71" s="115">
        <f>RATE_TBL[[#This Row],[Variable3]]</f>
        <v>30000</v>
      </c>
    </row>
    <row r="72" spans="2:17">
      <c r="B72" s="47">
        <v>67</v>
      </c>
      <c r="C72" s="48">
        <f>'Quantities Worksheet'!C72</f>
        <v>7</v>
      </c>
      <c r="D72" s="49" t="str">
        <f>'Quantities Worksheet'!D72</f>
        <v>Post-Closure Monitoring and Inspection</v>
      </c>
      <c r="E72" s="49"/>
      <c r="F72" s="18"/>
      <c r="G72" s="18"/>
      <c r="H72" s="32"/>
      <c r="I72" s="418"/>
      <c r="J72" s="382"/>
      <c r="K72" s="382"/>
      <c r="L72" s="50"/>
      <c r="M72" s="51"/>
      <c r="N72" s="50"/>
      <c r="O72" s="46"/>
      <c r="P72" s="92"/>
      <c r="Q72" s="112"/>
    </row>
    <row r="73" spans="2:17" ht="24">
      <c r="B73" s="47">
        <v>68</v>
      </c>
      <c r="C73" s="48"/>
      <c r="D73" s="49"/>
      <c r="E73" s="49">
        <f>'Quantities Worksheet'!E73</f>
        <v>7.01</v>
      </c>
      <c r="F73" s="18" t="str">
        <f>'Quantities Worksheet'!F73</f>
        <v xml:space="preserve">Post Closure Monitoring and inspection
</v>
      </c>
      <c r="G73" s="18"/>
      <c r="H73" s="32"/>
      <c r="I73" s="418"/>
      <c r="J73" s="382"/>
      <c r="K73" s="382"/>
      <c r="L73" s="50"/>
      <c r="M73" s="51"/>
      <c r="N73" s="50" t="str">
        <f>'Unit Rates Worksheet'!S$37</f>
        <v>Develop Work Specific Cost</v>
      </c>
      <c r="O73" s="46"/>
      <c r="P73" s="92" t="str">
        <f>'Quantities Worksheet'!Q73</f>
        <v>cost</v>
      </c>
      <c r="Q73" s="112" t="str">
        <f>RATE_TBL[[#This Row],[Variable3]]</f>
        <v>Develop Work Specific Cost</v>
      </c>
    </row>
    <row r="74" spans="2:17">
      <c r="B74" s="47">
        <v>69</v>
      </c>
      <c r="C74" s="48">
        <f>'Quantities Worksheet'!C74</f>
        <v>8</v>
      </c>
      <c r="D74" s="49" t="str">
        <f>'Quantities Worksheet'!D74</f>
        <v>Project Management</v>
      </c>
      <c r="E74" s="49"/>
      <c r="F74" s="18"/>
      <c r="G74" s="18"/>
      <c r="H74" s="32"/>
      <c r="I74" s="418"/>
      <c r="J74" s="382"/>
      <c r="K74" s="382"/>
      <c r="L74" s="50"/>
      <c r="M74" s="51"/>
      <c r="N74" s="50"/>
      <c r="O74" s="46"/>
      <c r="P74" s="92"/>
      <c r="Q74" s="112"/>
    </row>
    <row r="75" spans="2:17" ht="36">
      <c r="B75" s="47">
        <v>70</v>
      </c>
      <c r="C75" s="48"/>
      <c r="D75" s="49"/>
      <c r="E75" s="49">
        <f>'Quantities Worksheet'!E75</f>
        <v>8.01</v>
      </c>
      <c r="F75" s="18" t="str">
        <f>'Quantities Worksheet'!F75</f>
        <v xml:space="preserve">Project management for the closure and reclamation work
</v>
      </c>
      <c r="G75" s="18" t="str">
        <f>'Quantities Worksheet'!G75</f>
        <v xml:space="preserve">Project management costs typically 5% to 10% of the Direct costs.
</v>
      </c>
      <c r="H75" s="32"/>
      <c r="I75" s="418"/>
      <c r="J75" s="382"/>
      <c r="K75" s="382"/>
      <c r="L75" s="50"/>
      <c r="M75" s="127"/>
      <c r="N75" s="50"/>
      <c r="O75" s="46"/>
      <c r="P75" s="92" t="str">
        <f>'Quantities Worksheet'!Q75</f>
        <v xml:space="preserve"> </v>
      </c>
      <c r="Q75" s="115" t="s">
        <v>42</v>
      </c>
    </row>
    <row r="76" spans="2:17">
      <c r="B76" s="47">
        <v>71</v>
      </c>
      <c r="C76" s="48">
        <f>'Quantities Worksheet'!C76</f>
        <v>9</v>
      </c>
      <c r="D76" s="49" t="str">
        <f>'Quantities Worksheet'!D76</f>
        <v>Health and Safety Plans/ Monitoring &amp; QA/QC</v>
      </c>
      <c r="E76" s="49"/>
      <c r="F76" s="18"/>
      <c r="G76" s="18"/>
      <c r="H76" s="32"/>
      <c r="I76" s="418"/>
      <c r="J76" s="382"/>
      <c r="K76" s="382"/>
      <c r="L76" s="50"/>
      <c r="M76" s="51"/>
      <c r="N76" s="50"/>
      <c r="O76" s="46"/>
      <c r="P76" s="92"/>
      <c r="Q76" s="112"/>
    </row>
    <row r="77" spans="2:17" ht="36">
      <c r="B77" s="47">
        <v>72</v>
      </c>
      <c r="C77" s="48"/>
      <c r="D77" s="49"/>
      <c r="E77" s="49">
        <f>'Quantities Worksheet'!E77</f>
        <v>9.01</v>
      </c>
      <c r="F77" s="18" t="str">
        <f>'Quantities Worksheet'!F77</f>
        <v xml:space="preserve">Health and safety &amp; QA/QC for the closure and reclamation work
</v>
      </c>
      <c r="G77" s="18" t="str">
        <f>'Quantities Worksheet'!G77</f>
        <v>Health and safety &amp; QA/QC typically 1% to 3% of the Direct costs.</v>
      </c>
      <c r="H77" s="32"/>
      <c r="I77" s="418"/>
      <c r="J77" s="382"/>
      <c r="K77" s="382"/>
      <c r="L77" s="50"/>
      <c r="M77" s="127"/>
      <c r="N77" s="50"/>
      <c r="O77" s="46"/>
      <c r="P77" s="92" t="str">
        <f>'Quantities Worksheet'!Q77</f>
        <v xml:space="preserve"> </v>
      </c>
      <c r="Q77" s="115" t="s">
        <v>42</v>
      </c>
    </row>
    <row r="78" spans="2:17">
      <c r="B78" s="47">
        <v>73</v>
      </c>
      <c r="C78" s="48">
        <f>'Quantities Worksheet'!C78</f>
        <v>10</v>
      </c>
      <c r="D78" s="49" t="str">
        <f>'Quantities Worksheet'!D78</f>
        <v>Bonding/ Insurance</v>
      </c>
      <c r="E78" s="49"/>
      <c r="F78" s="18"/>
      <c r="G78" s="18"/>
      <c r="H78" s="32"/>
      <c r="I78" s="418"/>
      <c r="J78" s="382"/>
      <c r="K78" s="382"/>
      <c r="L78" s="50"/>
      <c r="M78" s="51"/>
      <c r="N78" s="50"/>
      <c r="O78" s="46"/>
      <c r="P78" s="92"/>
      <c r="Q78" s="112"/>
    </row>
    <row r="79" spans="2:17" ht="108">
      <c r="B79" s="47">
        <v>74</v>
      </c>
      <c r="C79" s="48"/>
      <c r="D79" s="49"/>
      <c r="E79" s="49">
        <f>'Quantities Worksheet'!E79</f>
        <v>10.01</v>
      </c>
      <c r="F79" s="18" t="str">
        <f>'Quantities Worksheet'!F79</f>
        <v xml:space="preserve">Bonding percentage
</v>
      </c>
      <c r="G79" s="18" t="str">
        <f>'Quantities Worksheet'!G79</f>
        <v xml:space="preserve">Pursuant to section 85.1 of the Construction Act and section 12 of the accompanying general regulation, all “public contracts” with a contract price of $500,000 or more require the contractor to furnish both a performance bond and a labour and materials bond that, in each case, must be in the prescribed forms and have coverage limits of at least 50% per cent of the contract price.
</v>
      </c>
      <c r="H79" s="32"/>
      <c r="I79" s="418"/>
      <c r="J79" s="382"/>
      <c r="K79" s="382"/>
      <c r="L79" s="125"/>
      <c r="M79" s="51"/>
      <c r="N79" s="50"/>
      <c r="O79" s="46"/>
      <c r="P79" s="92" t="str">
        <f>'Quantities Worksheet'!Q79</f>
        <v xml:space="preserve"> </v>
      </c>
      <c r="Q79" s="115" t="s">
        <v>42</v>
      </c>
    </row>
    <row r="80" spans="2:17">
      <c r="B80" s="47">
        <v>75</v>
      </c>
      <c r="C80" s="48">
        <f>'Quantities Worksheet'!C80</f>
        <v>11</v>
      </c>
      <c r="D80" s="49" t="str">
        <f>'Quantities Worksheet'!D80</f>
        <v>Contingency (e.g. quantity/ cost contingencies)</v>
      </c>
      <c r="E80" s="49"/>
      <c r="F80" s="18"/>
      <c r="G80" s="18"/>
      <c r="H80" s="32"/>
      <c r="I80" s="418"/>
      <c r="J80" s="382"/>
      <c r="K80" s="382"/>
      <c r="L80" s="50"/>
      <c r="M80" s="51"/>
      <c r="N80" s="50"/>
      <c r="O80" s="46"/>
      <c r="P80" s="92"/>
      <c r="Q80" s="112"/>
    </row>
    <row r="81" spans="2:17" ht="108">
      <c r="B81" s="47">
        <v>76</v>
      </c>
      <c r="C81" s="48"/>
      <c r="D81" s="49"/>
      <c r="E81" s="49">
        <f>'Quantities Worksheet'!E81</f>
        <v>11.01</v>
      </c>
      <c r="F81" s="18" t="str">
        <f>'Quantities Worksheet'!F81</f>
        <v xml:space="preserve">Contingency for the closure and reclamation work
</v>
      </c>
      <c r="G81" s="18" t="str">
        <f>'Quantities Worksheet'!G81</f>
        <v xml:space="preserve">Contingency was assigned for uncertainties of cost, environmental and schedule risks:
→ a 15% contingency is considered low in construction applications for early stages of a project
→ However, was selected based on the expected limited reclamation work for most land-use operations
</v>
      </c>
      <c r="H81" s="32"/>
      <c r="I81" s="418"/>
      <c r="J81" s="382"/>
      <c r="K81" s="382"/>
      <c r="L81" s="50"/>
      <c r="M81" s="127"/>
      <c r="N81" s="50"/>
      <c r="O81" s="46"/>
      <c r="P81" s="92" t="str">
        <f>'Quantities Worksheet'!Q81</f>
        <v xml:space="preserve"> </v>
      </c>
      <c r="Q81" s="115" t="s">
        <v>42</v>
      </c>
    </row>
    <row r="82" spans="2:17">
      <c r="B82" s="47">
        <v>77</v>
      </c>
      <c r="C82" s="48">
        <f>'Quantities Worksheet'!C82</f>
        <v>12</v>
      </c>
      <c r="D82" s="49" t="str">
        <f>'Quantities Worksheet'!D82</f>
        <v>Other Project Specific Costs</v>
      </c>
      <c r="E82" s="49"/>
      <c r="F82" s="18"/>
      <c r="G82" s="18"/>
      <c r="H82" s="32"/>
      <c r="I82" s="418"/>
      <c r="J82" s="382"/>
      <c r="K82" s="382"/>
      <c r="L82" s="50"/>
      <c r="M82" s="51"/>
      <c r="N82" s="50"/>
      <c r="O82" s="46"/>
      <c r="P82" s="92"/>
      <c r="Q82" s="112"/>
    </row>
    <row r="83" spans="2:17" ht="24">
      <c r="B83" s="47">
        <v>78</v>
      </c>
      <c r="C83" s="48"/>
      <c r="D83" s="49"/>
      <c r="E83" s="49">
        <f>'Quantities Worksheet'!E83</f>
        <v>12.01</v>
      </c>
      <c r="F83" s="18" t="str">
        <f>'Quantities Worksheet'!F83</f>
        <v xml:space="preserve">Other costs not already included in the Tool
</v>
      </c>
      <c r="G83" s="18"/>
      <c r="H83" s="32"/>
      <c r="I83" s="418"/>
      <c r="J83" s="382"/>
      <c r="K83" s="382"/>
      <c r="L83" s="50"/>
      <c r="M83" s="127"/>
      <c r="N83" s="50" t="str">
        <f>'Unit Rates Worksheet'!S$38</f>
        <v>Develop Work Specific Cost</v>
      </c>
      <c r="O83" s="46"/>
      <c r="P83" s="92" t="str">
        <f>'Quantities Worksheet'!Q83</f>
        <v>cost</v>
      </c>
      <c r="Q83" s="112" t="str">
        <f>RATE_TBL[[#This Row],[Variable3]]</f>
        <v>Develop Work Specific Cost</v>
      </c>
    </row>
    <row r="84" spans="2:17">
      <c r="B84" s="39">
        <v>79</v>
      </c>
      <c r="C84" s="40" t="s">
        <v>64</v>
      </c>
      <c r="D84" s="41"/>
      <c r="E84" s="41"/>
      <c r="F84" s="20"/>
      <c r="G84" s="20"/>
      <c r="H84" s="32"/>
      <c r="I84" s="418"/>
      <c r="J84" s="382"/>
      <c r="K84" s="382"/>
      <c r="L84" s="45"/>
      <c r="M84" s="44"/>
      <c r="N84" s="45"/>
      <c r="O84" s="46"/>
      <c r="P84" s="111"/>
      <c r="Q84" s="128"/>
    </row>
    <row r="85" spans="2:17" ht="10.050000000000001" customHeight="1"/>
    <row r="86" spans="2:17">
      <c r="B86" s="435"/>
      <c r="C86" s="1" t="s">
        <v>364</v>
      </c>
    </row>
    <row r="87" spans="2:17">
      <c r="B87" s="437"/>
      <c r="C87" s="1" t="s">
        <v>363</v>
      </c>
    </row>
    <row r="88" spans="2:17">
      <c r="B88" s="436"/>
      <c r="C88" s="1" t="s">
        <v>362</v>
      </c>
    </row>
    <row r="89" spans="2:17" ht="10.050000000000001" customHeight="1"/>
  </sheetData>
  <sheetProtection sheet="1" objects="1" scenarios="1"/>
  <phoneticPr fontId="8" type="noConversion"/>
  <conditionalFormatting sqref="B6:G84 P6:Q84 I6:N84">
    <cfRule type="expression" dxfId="54" priority="19">
      <formula>NOT(ISBLANK($F6))</formula>
    </cfRule>
    <cfRule type="expression" dxfId="53" priority="20">
      <formula>ISNUMBER($C6)</formula>
    </cfRule>
    <cfRule type="expression" dxfId="52" priority="21">
      <formula>AND(ISBLANK($C6),ISTEXT($D6))</formula>
    </cfRule>
  </conditionalFormatting>
  <pageMargins left="0.51181102362204722" right="0.51181102362204722" top="0.74803149606299213" bottom="0.55118110236220474" header="0.31496062992125984" footer="0.31496062992125984"/>
  <pageSetup scale="66" fitToHeight="12" orientation="landscape" horizontalDpi="1200" verticalDpi="1200" r:id="rId1"/>
  <headerFooter>
    <oddHeader>&amp;R&amp;K00-026Mackenzie Valley Land-Use Closure and Reclamation Tool - Closue Costs</oddHeader>
    <oddFooter>&amp;C&amp;K00-033BCL/ DXB&amp;R&amp;K00-033Page &amp;P of &amp;N</oddFooter>
  </headerFooter>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7AE71-CAEE-46FE-BF45-EEA3EF9471A5}">
  <sheetPr>
    <tabColor theme="0" tint="-0.249977111117893"/>
    <pageSetUpPr fitToPage="1"/>
  </sheetPr>
  <dimension ref="A1:T46"/>
  <sheetViews>
    <sheetView zoomScaleNormal="100" workbookViewId="0">
      <pane xSplit="7" ySplit="5" topLeftCell="K6" activePane="bottomRight" state="frozen"/>
      <selection activeCell="H5" sqref="H5"/>
      <selection pane="topRight" activeCell="H5" sqref="H5"/>
      <selection pane="bottomLeft" activeCell="H5" sqref="H5"/>
      <selection pane="bottomRight" activeCell="D15" sqref="D15"/>
    </sheetView>
  </sheetViews>
  <sheetFormatPr defaultColWidth="8.77734375" defaultRowHeight="18" outlineLevelCol="1"/>
  <cols>
    <col min="1" max="1" width="1.6640625" style="8" customWidth="1"/>
    <col min="2" max="2" width="6.6640625" style="2" customWidth="1"/>
    <col min="3" max="4" width="8.6640625" style="1" customWidth="1"/>
    <col min="5" max="5" width="6.6640625" style="1" customWidth="1"/>
    <col min="6" max="6" width="36.6640625" style="3" customWidth="1"/>
    <col min="7" max="7" width="36.6640625" style="3" customWidth="1" outlineLevel="1"/>
    <col min="8" max="8" width="1.6640625" style="3" customWidth="1"/>
    <col min="9" max="9" width="12.6640625" style="3" customWidth="1"/>
    <col min="10" max="10" width="6.6640625" style="3" customWidth="1"/>
    <col min="11" max="14" width="12.6640625" style="6" customWidth="1"/>
    <col min="15" max="15" width="12.6640625" style="6" hidden="1" customWidth="1" outlineLevel="1"/>
    <col min="16" max="16" width="12.6640625" style="6" customWidth="1" collapsed="1"/>
    <col min="17" max="17" width="1.6640625" style="6" customWidth="1"/>
    <col min="18" max="19" width="12.6640625" style="1" customWidth="1"/>
    <col min="20" max="20" width="1.6640625" style="26" customWidth="1"/>
    <col min="21" max="16384" width="8.77734375" style="1"/>
  </cols>
  <sheetData>
    <row r="1" spans="1:20">
      <c r="A1" s="218" t="str">
        <f>'Costing Questions'!B1</f>
        <v>Closure and Reclamation Tool - Closure Costs_Project Name</v>
      </c>
    </row>
    <row r="2" spans="1:20" ht="10.050000000000001" customHeight="1" thickBot="1"/>
    <row r="3" spans="1:20" ht="18.600000000000001" thickBot="1">
      <c r="B3" s="332" t="s">
        <v>214</v>
      </c>
      <c r="C3" s="333"/>
      <c r="D3" s="333"/>
      <c r="E3" s="334"/>
    </row>
    <row r="4" spans="1:20" ht="10.050000000000001" customHeight="1">
      <c r="B4" s="9"/>
    </row>
    <row r="5" spans="1:20" s="13" customFormat="1" ht="36">
      <c r="A5" s="323" t="s">
        <v>239</v>
      </c>
      <c r="B5" s="159" t="s">
        <v>10</v>
      </c>
      <c r="C5" s="159" t="s">
        <v>132</v>
      </c>
      <c r="D5" s="159" t="s">
        <v>131</v>
      </c>
      <c r="E5" s="159" t="s">
        <v>133</v>
      </c>
      <c r="F5" s="159" t="s">
        <v>21</v>
      </c>
      <c r="G5" s="159" t="s">
        <v>411</v>
      </c>
      <c r="H5" s="106" t="s">
        <v>0</v>
      </c>
      <c r="I5" s="159" t="s">
        <v>202</v>
      </c>
      <c r="J5" s="159" t="s">
        <v>209</v>
      </c>
      <c r="K5" s="159" t="s">
        <v>206</v>
      </c>
      <c r="L5" s="159" t="s">
        <v>204</v>
      </c>
      <c r="M5" s="159" t="s">
        <v>208</v>
      </c>
      <c r="N5" s="159" t="s">
        <v>203</v>
      </c>
      <c r="O5" s="159" t="s">
        <v>207</v>
      </c>
      <c r="P5" s="159" t="s">
        <v>205</v>
      </c>
      <c r="Q5" s="38" t="s">
        <v>52</v>
      </c>
      <c r="R5" s="160" t="s">
        <v>3</v>
      </c>
      <c r="S5" s="160" t="s">
        <v>201</v>
      </c>
      <c r="T5" s="27"/>
    </row>
    <row r="6" spans="1:20" s="2" customFormat="1">
      <c r="A6" s="25"/>
      <c r="B6" s="267">
        <v>0</v>
      </c>
      <c r="C6" s="268">
        <v>0</v>
      </c>
      <c r="D6" s="269" t="s">
        <v>214</v>
      </c>
      <c r="E6" s="269"/>
      <c r="F6" s="187"/>
      <c r="G6" s="187"/>
      <c r="H6" s="32"/>
      <c r="I6" s="207"/>
      <c r="J6" s="207"/>
      <c r="K6" s="189"/>
      <c r="L6" s="189"/>
      <c r="M6" s="189"/>
      <c r="N6" s="207"/>
      <c r="O6" s="454"/>
      <c r="P6" s="270"/>
      <c r="Q6" s="109"/>
      <c r="R6" s="189"/>
      <c r="S6" s="270"/>
      <c r="T6" s="28"/>
    </row>
    <row r="7" spans="1:20" s="2" customFormat="1">
      <c r="A7" s="25"/>
      <c r="B7" s="351">
        <v>0.01</v>
      </c>
      <c r="C7" s="352"/>
      <c r="D7" s="353" t="s">
        <v>11</v>
      </c>
      <c r="E7" s="353" t="s">
        <v>45</v>
      </c>
      <c r="F7" s="354"/>
      <c r="G7" s="354"/>
      <c r="H7" s="32"/>
      <c r="I7" s="355"/>
      <c r="J7" s="355"/>
      <c r="K7" s="356"/>
      <c r="L7" s="356"/>
      <c r="M7" s="356"/>
      <c r="N7" s="355"/>
      <c r="O7" s="455"/>
      <c r="P7" s="357"/>
      <c r="Q7" s="109"/>
      <c r="R7" s="356"/>
      <c r="S7" s="357"/>
      <c r="T7" s="28"/>
    </row>
    <row r="8" spans="1:20" s="2" customFormat="1" ht="36">
      <c r="A8" s="25"/>
      <c r="B8" s="336">
        <v>0.02</v>
      </c>
      <c r="C8" s="337"/>
      <c r="D8" s="338"/>
      <c r="E8" s="338"/>
      <c r="F8" s="240" t="s">
        <v>137</v>
      </c>
      <c r="G8" s="240" t="s">
        <v>170</v>
      </c>
      <c r="H8" s="32"/>
      <c r="I8" s="432">
        <v>120</v>
      </c>
      <c r="J8" s="249" t="s">
        <v>48</v>
      </c>
      <c r="K8" s="257"/>
      <c r="L8" s="257"/>
      <c r="M8" s="257"/>
      <c r="N8" s="339">
        <f>RATE_TBL3[[#This Row],[Reference Rate]]*IF(inflation&gt;0,inflation,1)</f>
        <v>120</v>
      </c>
      <c r="O8" s="456"/>
      <c r="P8" s="343"/>
      <c r="Q8" s="109"/>
      <c r="R8" s="242" t="s">
        <v>48</v>
      </c>
      <c r="S8" s="343">
        <f>IF(RATE_TBL3[[#This Row],[Project-Specific Cost]]&gt;0,RATE_TBL3[[#This Row],[Project-Specific Cost]],RATE_TBL3[[#This Row],[Calculated Unit Rate]])</f>
        <v>120</v>
      </c>
      <c r="T8" s="28"/>
    </row>
    <row r="9" spans="1:20" s="2" customFormat="1" ht="60">
      <c r="A9" s="25"/>
      <c r="B9" s="336">
        <v>0.03</v>
      </c>
      <c r="C9" s="337"/>
      <c r="D9" s="338"/>
      <c r="E9" s="338"/>
      <c r="F9" s="240" t="s">
        <v>144</v>
      </c>
      <c r="G9" s="240" t="s">
        <v>138</v>
      </c>
      <c r="H9" s="32"/>
      <c r="I9" s="431">
        <v>34.19</v>
      </c>
      <c r="J9" s="339" t="s">
        <v>48</v>
      </c>
      <c r="K9" s="358">
        <v>2</v>
      </c>
      <c r="L9" s="257"/>
      <c r="M9" s="257"/>
      <c r="N9" s="339">
        <f>RATE_TBL3[[#This Row],[Reference Rate]]*RATE_TBL3[[#This Row],[Calculation Variable1]]*IF(inflation&gt;0,inflation,1)</f>
        <v>68.38</v>
      </c>
      <c r="O9" s="456"/>
      <c r="P9" s="343"/>
      <c r="Q9" s="109"/>
      <c r="R9" s="242" t="s">
        <v>48</v>
      </c>
      <c r="S9" s="343">
        <f>IF(RATE_TBL3[[#This Row],[Project-Specific Cost]]&gt;0,RATE_TBL3[[#This Row],[Project-Specific Cost]],RATE_TBL3[[#This Row],[Calculated Unit Rate]])</f>
        <v>68.38</v>
      </c>
      <c r="T9" s="28"/>
    </row>
    <row r="10" spans="1:20" s="2" customFormat="1" ht="60">
      <c r="A10" s="25"/>
      <c r="B10" s="336">
        <v>0.04</v>
      </c>
      <c r="C10" s="337"/>
      <c r="D10" s="338"/>
      <c r="E10" s="338"/>
      <c r="F10" s="240" t="s">
        <v>103</v>
      </c>
      <c r="G10" s="240" t="s">
        <v>134</v>
      </c>
      <c r="H10" s="32"/>
      <c r="I10" s="431">
        <v>25.19</v>
      </c>
      <c r="J10" s="339" t="s">
        <v>48</v>
      </c>
      <c r="K10" s="358">
        <v>2</v>
      </c>
      <c r="L10" s="257"/>
      <c r="M10" s="257"/>
      <c r="N10" s="339">
        <f>RATE_TBL3[[#This Row],[Reference Rate]]*RATE_TBL3[[#This Row],[Calculation Variable1]]*IF(inflation&gt;0,inflation,1)</f>
        <v>50.38</v>
      </c>
      <c r="O10" s="456"/>
      <c r="P10" s="343"/>
      <c r="Q10" s="109"/>
      <c r="R10" s="242" t="s">
        <v>48</v>
      </c>
      <c r="S10" s="343">
        <f>IF(RATE_TBL3[[#This Row],[Project-Specific Cost]]&gt;0,RATE_TBL3[[#This Row],[Project-Specific Cost]],RATE_TBL3[[#This Row],[Calculated Unit Rate]])</f>
        <v>50.38</v>
      </c>
      <c r="T10" s="28"/>
    </row>
    <row r="11" spans="1:20" s="2" customFormat="1" ht="48">
      <c r="A11" s="25"/>
      <c r="B11" s="345">
        <v>0.05</v>
      </c>
      <c r="C11" s="346"/>
      <c r="D11" s="244"/>
      <c r="E11" s="244"/>
      <c r="F11" s="228" t="s">
        <v>47</v>
      </c>
      <c r="G11" s="228" t="s">
        <v>139</v>
      </c>
      <c r="H11" s="32"/>
      <c r="I11" s="252"/>
      <c r="J11" s="252"/>
      <c r="K11" s="230">
        <v>1</v>
      </c>
      <c r="L11" s="230">
        <v>4</v>
      </c>
      <c r="M11" s="229"/>
      <c r="N11" s="359">
        <f>(RATE_TBL3[[#This Row],[Calculation Variable1]]*S9+RATE_TBL3[[#This Row],[Calculation Variable2]]*S10)*12</f>
        <v>3238.7999999999997</v>
      </c>
      <c r="O11" s="457"/>
      <c r="P11" s="360"/>
      <c r="Q11" s="109"/>
      <c r="R11" s="230" t="s">
        <v>73</v>
      </c>
      <c r="S11" s="360">
        <f>IF(RATE_TBL3[[#This Row],[Project-Specific Cost]]&gt;0,RATE_TBL3[[#This Row],[Project-Specific Cost]],RATE_TBL3[[#This Row],[Calculated Unit Rate]])</f>
        <v>3238.7999999999997</v>
      </c>
      <c r="T11" s="28"/>
    </row>
    <row r="12" spans="1:20" s="2" customFormat="1">
      <c r="A12" s="25"/>
      <c r="B12" s="351">
        <v>6.0000000000000005E-2</v>
      </c>
      <c r="C12" s="352"/>
      <c r="D12" s="353" t="s">
        <v>12</v>
      </c>
      <c r="E12" s="353" t="s">
        <v>46</v>
      </c>
      <c r="F12" s="354"/>
      <c r="G12" s="354"/>
      <c r="H12" s="32"/>
      <c r="I12" s="355"/>
      <c r="J12" s="355"/>
      <c r="K12" s="356"/>
      <c r="L12" s="356"/>
      <c r="M12" s="356"/>
      <c r="N12" s="355"/>
      <c r="O12" s="455"/>
      <c r="P12" s="357"/>
      <c r="Q12" s="109"/>
      <c r="R12" s="356"/>
      <c r="S12" s="357"/>
      <c r="T12" s="28"/>
    </row>
    <row r="13" spans="1:20" s="2" customFormat="1" ht="132">
      <c r="A13" s="25"/>
      <c r="B13" s="336">
        <v>7.0000000000000007E-2</v>
      </c>
      <c r="C13" s="337"/>
      <c r="D13" s="338"/>
      <c r="E13" s="338"/>
      <c r="F13" s="240" t="s">
        <v>104</v>
      </c>
      <c r="G13" s="240" t="s">
        <v>106</v>
      </c>
      <c r="H13" s="32"/>
      <c r="I13" s="433">
        <f>(175+185)/2*1.02</f>
        <v>183.6</v>
      </c>
      <c r="J13" s="339" t="s">
        <v>48</v>
      </c>
      <c r="K13" s="340">
        <v>205.96</v>
      </c>
      <c r="L13" s="340">
        <v>151</v>
      </c>
      <c r="M13" s="257"/>
      <c r="N13" s="341">
        <f>RATE_TBL3[[#This Row],[Reference Rate]]*IF(inflation&gt;0,inflation,1)</f>
        <v>183.6</v>
      </c>
      <c r="O13" s="456"/>
      <c r="P13" s="342"/>
      <c r="Q13" s="109"/>
      <c r="R13" s="242" t="s">
        <v>48</v>
      </c>
      <c r="S13" s="343">
        <f>IF(RATE_TBL3[[#This Row],[Project-Specific Cost]]&gt;0,RATE_TBL3[[#This Row],[Project-Specific Cost]],RATE_TBL3[[#This Row],[Calculated Unit Rate]])</f>
        <v>183.6</v>
      </c>
      <c r="T13" s="28"/>
    </row>
    <row r="14" spans="1:20" s="2" customFormat="1" ht="36">
      <c r="A14" s="25"/>
      <c r="B14" s="336">
        <v>0.08</v>
      </c>
      <c r="C14" s="337"/>
      <c r="D14" s="338"/>
      <c r="E14" s="338"/>
      <c r="F14" s="240" t="s">
        <v>105</v>
      </c>
      <c r="G14" s="240" t="s">
        <v>107</v>
      </c>
      <c r="H14" s="32"/>
      <c r="I14" s="433">
        <f>(250+280)/2*1.02</f>
        <v>270.3</v>
      </c>
      <c r="J14" s="339" t="s">
        <v>48</v>
      </c>
      <c r="K14" s="340">
        <v>243.9</v>
      </c>
      <c r="L14" s="340">
        <v>228</v>
      </c>
      <c r="M14" s="257"/>
      <c r="N14" s="341">
        <f>RATE_TBL3[[#This Row],[Reference Rate]]*IF(inflation&gt;0,inflation,1)</f>
        <v>270.3</v>
      </c>
      <c r="O14" s="456"/>
      <c r="P14" s="344"/>
      <c r="Q14" s="109"/>
      <c r="R14" s="242" t="s">
        <v>48</v>
      </c>
      <c r="S14" s="343">
        <f>IF(RATE_TBL3[[#This Row],[Project-Specific Cost]]&gt;0,RATE_TBL3[[#This Row],[Project-Specific Cost]],RATE_TBL3[[#This Row],[Calculated Unit Rate]])</f>
        <v>270.3</v>
      </c>
      <c r="T14" s="28"/>
    </row>
    <row r="15" spans="1:20" s="2" customFormat="1" ht="36">
      <c r="A15" s="25"/>
      <c r="B15" s="336">
        <v>0.09</v>
      </c>
      <c r="C15" s="337"/>
      <c r="D15" s="338"/>
      <c r="E15" s="338"/>
      <c r="F15" s="240" t="s">
        <v>136</v>
      </c>
      <c r="G15" s="240" t="s">
        <v>107</v>
      </c>
      <c r="H15" s="32"/>
      <c r="I15" s="433">
        <f>(180+225)/2*1.02</f>
        <v>206.55</v>
      </c>
      <c r="J15" s="339" t="s">
        <v>48</v>
      </c>
      <c r="K15" s="340">
        <v>222.22000000000003</v>
      </c>
      <c r="L15" s="340">
        <v>201</v>
      </c>
      <c r="M15" s="257"/>
      <c r="N15" s="341">
        <f>RATE_TBL3[[#This Row],[Reference Rate]]*IF(inflation&gt;0,inflation,1)</f>
        <v>206.55</v>
      </c>
      <c r="O15" s="456"/>
      <c r="P15" s="344"/>
      <c r="Q15" s="109"/>
      <c r="R15" s="242" t="s">
        <v>48</v>
      </c>
      <c r="S15" s="343">
        <f>IF(RATE_TBL3[[#This Row],[Project-Specific Cost]]&gt;0,RATE_TBL3[[#This Row],[Project-Specific Cost]],RATE_TBL3[[#This Row],[Calculated Unit Rate]])</f>
        <v>206.55</v>
      </c>
      <c r="T15" s="28"/>
    </row>
    <row r="16" spans="1:20" s="2" customFormat="1" ht="60">
      <c r="A16" s="25"/>
      <c r="B16" s="345">
        <v>9.9999999999999992E-2</v>
      </c>
      <c r="C16" s="346"/>
      <c r="D16" s="244"/>
      <c r="E16" s="244"/>
      <c r="F16" s="228" t="s">
        <v>72</v>
      </c>
      <c r="G16" s="228" t="s">
        <v>135</v>
      </c>
      <c r="H16" s="32"/>
      <c r="I16" s="252"/>
      <c r="J16" s="252"/>
      <c r="K16" s="230">
        <v>1</v>
      </c>
      <c r="L16" s="230">
        <v>2</v>
      </c>
      <c r="M16" s="230">
        <v>1</v>
      </c>
      <c r="N16" s="348">
        <f>(S13*RATE_TBL3[[#This Row],[Calculation Variable1]]+S14*RATE_TBL3[[#This Row],[Calculation Variable2]]+S15*RATE_TBL3[[#This Row],[Calculation Variable3]])*12</f>
        <v>11169</v>
      </c>
      <c r="O16" s="457"/>
      <c r="P16" s="349"/>
      <c r="Q16" s="109"/>
      <c r="R16" s="230" t="s">
        <v>73</v>
      </c>
      <c r="S16" s="350">
        <f>IF(RATE_TBL3[[#This Row],[Project-Specific Cost]]&gt;0,RATE_TBL3[[#This Row],[Project-Specific Cost]],RATE_TBL3[[#This Row],[Calculated Unit Rate]])</f>
        <v>11169</v>
      </c>
      <c r="T16" s="28"/>
    </row>
    <row r="17" spans="1:20" s="2" customFormat="1">
      <c r="A17" s="25"/>
      <c r="B17" s="351">
        <v>0.10999999999999999</v>
      </c>
      <c r="C17" s="352"/>
      <c r="D17" s="353" t="s">
        <v>13</v>
      </c>
      <c r="E17" s="353" t="s">
        <v>60</v>
      </c>
      <c r="F17" s="354"/>
      <c r="G17" s="354"/>
      <c r="H17" s="32"/>
      <c r="I17" s="355"/>
      <c r="J17" s="355"/>
      <c r="K17" s="356"/>
      <c r="L17" s="356"/>
      <c r="M17" s="356"/>
      <c r="N17" s="355"/>
      <c r="O17" s="455"/>
      <c r="P17" s="357"/>
      <c r="Q17" s="109"/>
      <c r="R17" s="356"/>
      <c r="S17" s="357"/>
      <c r="T17" s="28"/>
    </row>
    <row r="18" spans="1:20" s="2" customFormat="1" ht="72">
      <c r="A18" s="25"/>
      <c r="B18" s="336">
        <v>0.11999999999999998</v>
      </c>
      <c r="C18" s="337"/>
      <c r="D18" s="338"/>
      <c r="E18" s="338"/>
      <c r="F18" s="240" t="s">
        <v>91</v>
      </c>
      <c r="G18" s="240" t="s">
        <v>140</v>
      </c>
      <c r="H18" s="32"/>
      <c r="I18" s="431">
        <f>(155+185)/2*1.02</f>
        <v>173.4</v>
      </c>
      <c r="J18" s="339" t="s">
        <v>48</v>
      </c>
      <c r="K18" s="361">
        <f>ROUND(50*0.75,1)</f>
        <v>37.5</v>
      </c>
      <c r="L18" s="362">
        <v>30</v>
      </c>
      <c r="M18" s="361"/>
      <c r="N18" s="341">
        <f>RATE_TBL3[[#This Row],[Reference Rate]]*IF(inflation&gt;0,inflation,1)</f>
        <v>173.4</v>
      </c>
      <c r="O18" s="458"/>
      <c r="P18" s="363"/>
      <c r="Q18" s="109"/>
      <c r="R18" s="242" t="s">
        <v>48</v>
      </c>
      <c r="S18" s="343">
        <f>IF(RATE_TBL3[[#This Row],[Project-Specific Cost]]&gt;0,RATE_TBL3[[#This Row],[Project-Specific Cost]],RATE_TBL3[[#This Row],[Calculated Unit Rate]])</f>
        <v>173.4</v>
      </c>
      <c r="T18" s="28"/>
    </row>
    <row r="19" spans="1:20" s="2" customFormat="1" ht="84">
      <c r="A19" s="25"/>
      <c r="B19" s="364">
        <v>0.12999999999999998</v>
      </c>
      <c r="C19" s="365"/>
      <c r="D19" s="366"/>
      <c r="E19" s="366"/>
      <c r="F19" s="248" t="s">
        <v>61</v>
      </c>
      <c r="G19" s="240" t="s">
        <v>141</v>
      </c>
      <c r="H19" s="32"/>
      <c r="I19" s="431">
        <f>1800+500+200</f>
        <v>2500</v>
      </c>
      <c r="J19" s="339" t="s">
        <v>48</v>
      </c>
      <c r="K19" s="361">
        <f>ROUND(150*0.75/0.62,1)</f>
        <v>181.5</v>
      </c>
      <c r="L19" s="368">
        <f>ROUND(2500/2.2,0)</f>
        <v>1136</v>
      </c>
      <c r="M19" s="257"/>
      <c r="N19" s="341">
        <f>RATE_TBL3[[#This Row],[Reference Rate]]*IF(inflation&gt;0,inflation,1)</f>
        <v>2500</v>
      </c>
      <c r="O19" s="458"/>
      <c r="P19" s="363"/>
      <c r="Q19" s="109"/>
      <c r="R19" s="242" t="s">
        <v>48</v>
      </c>
      <c r="S19" s="343">
        <f>IF(RATE_TBL3[[#This Row],[Project-Specific Cost]]&gt;0,RATE_TBL3[[#This Row],[Project-Specific Cost]],RATE_TBL3[[#This Row],[Calculated Unit Rate]])</f>
        <v>2500</v>
      </c>
      <c r="T19" s="28"/>
    </row>
    <row r="20" spans="1:20" s="2" customFormat="1">
      <c r="A20" s="25"/>
      <c r="B20" s="364">
        <v>0.13999999999999999</v>
      </c>
      <c r="C20" s="365"/>
      <c r="D20" s="366"/>
      <c r="E20" s="366"/>
      <c r="F20" s="248" t="s">
        <v>311</v>
      </c>
      <c r="G20" s="248" t="s">
        <v>313</v>
      </c>
      <c r="H20" s="32"/>
      <c r="I20" s="431">
        <v>250</v>
      </c>
      <c r="J20" s="419" t="s">
        <v>63</v>
      </c>
      <c r="K20" s="361">
        <f>ROUND(80*0.75,1)</f>
        <v>60</v>
      </c>
      <c r="L20" s="368">
        <f>4*165</f>
        <v>660</v>
      </c>
      <c r="M20" s="341"/>
      <c r="N20" s="367">
        <f>RATE_TBL3[[#This Row],[Reference Rate]]*IF(inflation&gt;0,inflation,1)</f>
        <v>250</v>
      </c>
      <c r="O20" s="459"/>
      <c r="P20" s="363"/>
      <c r="Q20" s="46"/>
      <c r="R20" s="242" t="s">
        <v>63</v>
      </c>
      <c r="S20" s="343">
        <f>IF(RATE_TBL3[[#This Row],[Project-Specific Cost]]&gt;0,RATE_TBL3[[#This Row],[Project-Specific Cost]],RATE_TBL3[[#This Row],[Calculated Unit Rate]])</f>
        <v>250</v>
      </c>
      <c r="T20" s="28"/>
    </row>
    <row r="21" spans="1:20" s="2" customFormat="1">
      <c r="A21" s="25"/>
      <c r="B21" s="364">
        <v>0.15</v>
      </c>
      <c r="C21" s="365"/>
      <c r="D21" s="366"/>
      <c r="E21" s="366"/>
      <c r="F21" s="248" t="s">
        <v>62</v>
      </c>
      <c r="G21" s="240" t="s">
        <v>108</v>
      </c>
      <c r="H21" s="32"/>
      <c r="I21" s="432">
        <v>222.5</v>
      </c>
      <c r="J21" s="369" t="s">
        <v>63</v>
      </c>
      <c r="K21" s="257"/>
      <c r="L21" s="257"/>
      <c r="M21" s="257"/>
      <c r="N21" s="367">
        <f>RATE_TBL3[[#This Row],[Reference Rate]]*IF(inflation&gt;0,inflation,1)</f>
        <v>222.5</v>
      </c>
      <c r="O21" s="459"/>
      <c r="P21" s="363"/>
      <c r="Q21" s="109"/>
      <c r="R21" s="242" t="s">
        <v>63</v>
      </c>
      <c r="S21" s="343">
        <f>IF(RATE_TBL3[[#This Row],[Project-Specific Cost]]&gt;0,RATE_TBL3[[#This Row],[Project-Specific Cost]],RATE_TBL3[[#This Row],[Calculated Unit Rate]])</f>
        <v>222.5</v>
      </c>
      <c r="T21" s="28"/>
    </row>
    <row r="22" spans="1:20" s="2" customFormat="1" ht="24">
      <c r="A22" s="25"/>
      <c r="B22" s="364">
        <v>0.16</v>
      </c>
      <c r="C22" s="365"/>
      <c r="D22" s="366"/>
      <c r="E22" s="366"/>
      <c r="F22" s="248" t="s">
        <v>75</v>
      </c>
      <c r="G22" s="240" t="s">
        <v>312</v>
      </c>
      <c r="H22" s="32"/>
      <c r="I22" s="432">
        <v>75</v>
      </c>
      <c r="J22" s="369" t="s">
        <v>210</v>
      </c>
      <c r="K22" s="257"/>
      <c r="L22" s="257"/>
      <c r="M22" s="257"/>
      <c r="N22" s="367">
        <f>RATE_TBL3[[#This Row],[Reference Rate]]*IF(inflation&gt;0,inflation,1)</f>
        <v>75</v>
      </c>
      <c r="O22" s="459"/>
      <c r="P22" s="363"/>
      <c r="Q22" s="109"/>
      <c r="R22" s="242" t="s">
        <v>63</v>
      </c>
      <c r="S22" s="343">
        <f>IF(RATE_TBL3[[#This Row],[Project-Specific Cost]]&gt;0,RATE_TBL3[[#This Row],[Project-Specific Cost]],RATE_TBL3[[#This Row],[Calculated Unit Rate]])</f>
        <v>75</v>
      </c>
      <c r="T22" s="28"/>
    </row>
    <row r="23" spans="1:20" s="2" customFormat="1" ht="36">
      <c r="A23" s="25"/>
      <c r="B23" s="364">
        <v>0.17</v>
      </c>
      <c r="C23" s="365"/>
      <c r="D23" s="366"/>
      <c r="E23" s="366"/>
      <c r="F23" s="248" t="s">
        <v>307</v>
      </c>
      <c r="G23" s="240" t="s">
        <v>328</v>
      </c>
      <c r="H23" s="32"/>
      <c r="I23" s="432" t="s">
        <v>88</v>
      </c>
      <c r="J23" s="369"/>
      <c r="K23" s="257"/>
      <c r="L23" s="257"/>
      <c r="M23" s="257"/>
      <c r="N23" s="367" t="str">
        <f>RATE_TBL3[[#This Row],[Reference Rate]]</f>
        <v>Included in disposal fee</v>
      </c>
      <c r="O23" s="459"/>
      <c r="P23" s="363"/>
      <c r="Q23" s="109"/>
      <c r="R23" s="242" t="s">
        <v>74</v>
      </c>
      <c r="S23" s="343" t="str">
        <f>IF(RATE_TBL3[[#This Row],[Project-Specific Cost]]&gt;0,RATE_TBL3[[#This Row],[Project-Specific Cost]],RATE_TBL3[[#This Row],[Calculated Unit Rate]])</f>
        <v>Included in disposal fee</v>
      </c>
      <c r="T23" s="28"/>
    </row>
    <row r="24" spans="1:20" s="2" customFormat="1" ht="36">
      <c r="A24" s="25"/>
      <c r="B24" s="364">
        <v>0.18000000000000002</v>
      </c>
      <c r="C24" s="365"/>
      <c r="D24" s="366"/>
      <c r="E24" s="366"/>
      <c r="F24" s="248" t="s">
        <v>329</v>
      </c>
      <c r="G24" s="240" t="s">
        <v>328</v>
      </c>
      <c r="H24" s="32"/>
      <c r="I24" s="432" t="s">
        <v>88</v>
      </c>
      <c r="J24" s="369"/>
      <c r="K24" s="257"/>
      <c r="L24" s="257"/>
      <c r="M24" s="257"/>
      <c r="N24" s="367" t="str">
        <f>RATE_TBL3[[#This Row],[Reference Rate]]</f>
        <v>Included in disposal fee</v>
      </c>
      <c r="O24" s="459"/>
      <c r="P24" s="363"/>
      <c r="Q24" s="109"/>
      <c r="R24" s="242" t="s">
        <v>74</v>
      </c>
      <c r="S24" s="343" t="str">
        <f>IF(RATE_TBL3[[#This Row],[Project-Specific Cost]]&gt;0,RATE_TBL3[[#This Row],[Project-Specific Cost]],RATE_TBL3[[#This Row],[Calculated Unit Rate]])</f>
        <v>Included in disposal fee</v>
      </c>
      <c r="T24" s="28"/>
    </row>
    <row r="25" spans="1:20" s="2" customFormat="1" ht="36">
      <c r="A25" s="25"/>
      <c r="B25" s="364">
        <v>0.19000000000000003</v>
      </c>
      <c r="C25" s="365"/>
      <c r="D25" s="366"/>
      <c r="E25" s="366"/>
      <c r="F25" s="248" t="s">
        <v>330</v>
      </c>
      <c r="G25" s="240" t="s">
        <v>328</v>
      </c>
      <c r="H25" s="32"/>
      <c r="I25" s="432" t="s">
        <v>88</v>
      </c>
      <c r="J25" s="369"/>
      <c r="K25" s="257"/>
      <c r="L25" s="257"/>
      <c r="M25" s="257"/>
      <c r="N25" s="367" t="str">
        <f>RATE_TBL3[[#This Row],[Reference Rate]]</f>
        <v>Included in disposal fee</v>
      </c>
      <c r="O25" s="459"/>
      <c r="P25" s="363"/>
      <c r="Q25" s="109"/>
      <c r="R25" s="242" t="s">
        <v>74</v>
      </c>
      <c r="S25" s="343" t="str">
        <f>IF(RATE_TBL3[[#This Row],[Project-Specific Cost]]&gt;0,RATE_TBL3[[#This Row],[Project-Specific Cost]],RATE_TBL3[[#This Row],[Calculated Unit Rate]])</f>
        <v>Included in disposal fee</v>
      </c>
      <c r="T25" s="28"/>
    </row>
    <row r="26" spans="1:20" s="2" customFormat="1" ht="48">
      <c r="A26" s="25"/>
      <c r="B26" s="364">
        <v>0.20000000000000004</v>
      </c>
      <c r="C26" s="365"/>
      <c r="D26" s="366"/>
      <c r="E26" s="366"/>
      <c r="F26" s="248" t="s">
        <v>85</v>
      </c>
      <c r="G26" s="240" t="s">
        <v>142</v>
      </c>
      <c r="H26" s="32"/>
      <c r="I26" s="432">
        <v>225.5</v>
      </c>
      <c r="J26" s="369" t="s">
        <v>74</v>
      </c>
      <c r="K26" s="257"/>
      <c r="L26" s="257"/>
      <c r="M26" s="257"/>
      <c r="N26" s="367">
        <f>RATE_TBL3[[#This Row],[Reference Rate]]*IF(inflation&gt;0,inflation,1)</f>
        <v>225.5</v>
      </c>
      <c r="O26" s="459"/>
      <c r="P26" s="363"/>
      <c r="Q26" s="109"/>
      <c r="R26" s="242" t="s">
        <v>74</v>
      </c>
      <c r="S26" s="343">
        <f>IF(RATE_TBL3[[#This Row],[Project-Specific Cost]]&gt;0,RATE_TBL3[[#This Row],[Project-Specific Cost]],RATE_TBL3[[#This Row],[Calculated Unit Rate]])</f>
        <v>225.5</v>
      </c>
      <c r="T26" s="28"/>
    </row>
    <row r="27" spans="1:20" s="2" customFormat="1" ht="48">
      <c r="A27" s="25"/>
      <c r="B27" s="364">
        <v>0.21000000000000005</v>
      </c>
      <c r="C27" s="365"/>
      <c r="D27" s="366"/>
      <c r="E27" s="366"/>
      <c r="F27" s="248" t="s">
        <v>86</v>
      </c>
      <c r="G27" s="240" t="s">
        <v>109</v>
      </c>
      <c r="H27" s="32"/>
      <c r="I27" s="431">
        <v>385</v>
      </c>
      <c r="J27" s="367" t="s">
        <v>34</v>
      </c>
      <c r="K27" s="370">
        <v>2</v>
      </c>
      <c r="L27" s="257"/>
      <c r="M27" s="257"/>
      <c r="N27" s="367">
        <f>RATE_TBL3[[#This Row],[Reference Rate]]/RATE_TBL3[[#This Row],[Calculation Variable1]]*IF(inflation&gt;0,inflation,1)</f>
        <v>192.5</v>
      </c>
      <c r="O27" s="459"/>
      <c r="P27" s="363"/>
      <c r="Q27" s="109"/>
      <c r="R27" s="242" t="s">
        <v>74</v>
      </c>
      <c r="S27" s="343">
        <f>IF(RATE_TBL3[[#This Row],[Project-Specific Cost]]&gt;0,RATE_TBL3[[#This Row],[Project-Specific Cost]],RATE_TBL3[[#This Row],[Calculated Unit Rate]])</f>
        <v>192.5</v>
      </c>
      <c r="T27" s="28"/>
    </row>
    <row r="28" spans="1:20" s="2" customFormat="1" ht="48">
      <c r="A28" s="25"/>
      <c r="B28" s="371">
        <v>0.22000000000000006</v>
      </c>
      <c r="C28" s="372"/>
      <c r="D28" s="373"/>
      <c r="E28" s="373"/>
      <c r="F28" s="251" t="s">
        <v>87</v>
      </c>
      <c r="G28" s="228" t="s">
        <v>143</v>
      </c>
      <c r="H28" s="32"/>
      <c r="I28" s="434">
        <v>1.5</v>
      </c>
      <c r="J28" s="374" t="s">
        <v>37</v>
      </c>
      <c r="K28" s="229"/>
      <c r="L28" s="229"/>
      <c r="M28" s="229"/>
      <c r="N28" s="359">
        <f>RATE_TBL3[[#This Row],[Reference Rate]]*IF(inflation&gt;0,inflation,1)</f>
        <v>1.5</v>
      </c>
      <c r="O28" s="457"/>
      <c r="P28" s="360"/>
      <c r="Q28" s="109"/>
      <c r="R28" s="230" t="s">
        <v>37</v>
      </c>
      <c r="S28" s="350">
        <f>IF(RATE_TBL3[[#This Row],[Project-Specific Cost]]&gt;0,RATE_TBL3[[#This Row],[Project-Specific Cost]],RATE_TBL3[[#This Row],[Calculated Unit Rate]])</f>
        <v>1.5</v>
      </c>
      <c r="T28" s="28"/>
    </row>
    <row r="29" spans="1:20" s="2" customFormat="1">
      <c r="A29" s="25"/>
      <c r="B29" s="376">
        <v>0.23000000000000007</v>
      </c>
      <c r="C29" s="377"/>
      <c r="D29" s="378" t="s">
        <v>14</v>
      </c>
      <c r="E29" s="378" t="s">
        <v>213</v>
      </c>
      <c r="F29" s="354"/>
      <c r="G29" s="354"/>
      <c r="H29" s="32"/>
      <c r="I29" s="379"/>
      <c r="J29" s="379"/>
      <c r="K29" s="380"/>
      <c r="L29" s="380"/>
      <c r="M29" s="380"/>
      <c r="N29" s="355"/>
      <c r="O29" s="455"/>
      <c r="P29" s="357"/>
      <c r="Q29" s="109"/>
      <c r="R29" s="356"/>
      <c r="S29" s="357"/>
      <c r="T29" s="28"/>
    </row>
    <row r="30" spans="1:20" s="2" customFormat="1" ht="24">
      <c r="A30" s="25"/>
      <c r="B30" s="364">
        <v>0.24000000000000007</v>
      </c>
      <c r="C30" s="365"/>
      <c r="D30" s="366"/>
      <c r="E30" s="366"/>
      <c r="F30" s="248" t="s">
        <v>211</v>
      </c>
      <c r="G30" s="240" t="s">
        <v>212</v>
      </c>
      <c r="H30" s="32"/>
      <c r="I30" s="432">
        <v>1000</v>
      </c>
      <c r="J30" s="369" t="s">
        <v>28</v>
      </c>
      <c r="K30" s="257"/>
      <c r="L30" s="257"/>
      <c r="M30" s="257"/>
      <c r="N30" s="367">
        <f>RATE_TBL3[[#This Row],[Reference Rate]]*IF(inflation&gt;0,inflation,1)</f>
        <v>1000</v>
      </c>
      <c r="O30" s="459"/>
      <c r="P30" s="385">
        <f>'Project-Specific Costs'!I18</f>
        <v>0</v>
      </c>
      <c r="Q30" s="109"/>
      <c r="R30" s="242" t="s">
        <v>28</v>
      </c>
      <c r="S30" s="343">
        <f>IF(RATE_TBL3[[#This Row],[Project-Specific Cost]]&gt;0,RATE_TBL3[[#This Row],[Project-Specific Cost]],RATE_TBL3[[#This Row],[Calculated Unit Rate]])</f>
        <v>1000</v>
      </c>
      <c r="T30" s="28"/>
    </row>
    <row r="31" spans="1:20" s="2" customFormat="1" ht="48">
      <c r="A31" s="25"/>
      <c r="B31" s="364">
        <v>0.25000000000000006</v>
      </c>
      <c r="C31" s="365"/>
      <c r="D31" s="366"/>
      <c r="E31" s="366"/>
      <c r="F31" s="248" t="s">
        <v>145</v>
      </c>
      <c r="G31" s="240" t="s">
        <v>171</v>
      </c>
      <c r="H31" s="32"/>
      <c r="I31" s="432">
        <v>13000</v>
      </c>
      <c r="J31" s="369" t="s">
        <v>28</v>
      </c>
      <c r="K31" s="257"/>
      <c r="L31" s="257"/>
      <c r="M31" s="257"/>
      <c r="N31" s="367">
        <f>RATE_TBL3[[#This Row],[Reference Rate]]*IF(inflation&gt;0,inflation,1)</f>
        <v>13000</v>
      </c>
      <c r="O31" s="459"/>
      <c r="P31" s="385">
        <f>'Project-Specific Costs'!I18</f>
        <v>0</v>
      </c>
      <c r="Q31" s="109"/>
      <c r="R31" s="242" t="s">
        <v>28</v>
      </c>
      <c r="S31" s="343">
        <f>IF(RATE_TBL3[[#This Row],[Project-Specific Cost]]&gt;0,RATE_TBL3[[#This Row],[Project-Specific Cost]],RATE_TBL3[[#This Row],[Calculated Unit Rate]])</f>
        <v>13000</v>
      </c>
      <c r="T31" s="28"/>
    </row>
    <row r="32" spans="1:20" s="2" customFormat="1" ht="36">
      <c r="A32" s="25"/>
      <c r="B32" s="364">
        <v>0.26000000000000006</v>
      </c>
      <c r="C32" s="365"/>
      <c r="D32" s="366"/>
      <c r="E32" s="366"/>
      <c r="F32" s="248" t="s">
        <v>76</v>
      </c>
      <c r="G32" s="240" t="s">
        <v>110</v>
      </c>
      <c r="H32" s="32"/>
      <c r="I32" s="432">
        <v>25000</v>
      </c>
      <c r="J32" s="369"/>
      <c r="K32" s="257"/>
      <c r="L32" s="257"/>
      <c r="M32" s="257"/>
      <c r="N32" s="367">
        <f>RATE_TBL3[[#This Row],[Reference Rate]]*IF(inflation&gt;0,inflation,1)</f>
        <v>25000</v>
      </c>
      <c r="O32" s="459"/>
      <c r="P32" s="385">
        <f>'Project-Specific Costs'!I31</f>
        <v>0</v>
      </c>
      <c r="Q32" s="109"/>
      <c r="R32" s="242" t="s">
        <v>174</v>
      </c>
      <c r="S32" s="343">
        <f>IF(RATE_TBL3[[#This Row],[Project-Specific Cost]]&gt;0,RATE_TBL3[[#This Row],[Project-Specific Cost]],RATE_TBL3[[#This Row],[Calculated Unit Rate]])</f>
        <v>25000</v>
      </c>
      <c r="T32" s="28"/>
    </row>
    <row r="33" spans="1:20" s="2" customFormat="1" ht="36">
      <c r="A33" s="25"/>
      <c r="B33" s="364">
        <v>0.27000000000000007</v>
      </c>
      <c r="C33" s="365"/>
      <c r="D33" s="366"/>
      <c r="E33" s="366"/>
      <c r="F33" s="248" t="s">
        <v>77</v>
      </c>
      <c r="G33" s="240" t="s">
        <v>110</v>
      </c>
      <c r="H33" s="32"/>
      <c r="I33" s="432">
        <v>40000</v>
      </c>
      <c r="J33" s="369"/>
      <c r="K33" s="257"/>
      <c r="L33" s="257"/>
      <c r="M33" s="257"/>
      <c r="N33" s="367">
        <f>RATE_TBL3[[#This Row],[Reference Rate]]*IF(inflation&gt;0,inflation,1)</f>
        <v>40000</v>
      </c>
      <c r="O33" s="459"/>
      <c r="P33" s="385">
        <f>'Project-Specific Costs'!I44</f>
        <v>0</v>
      </c>
      <c r="Q33" s="109"/>
      <c r="R33" s="242" t="s">
        <v>174</v>
      </c>
      <c r="S33" s="343">
        <f>IF(RATE_TBL3[[#This Row],[Project-Specific Cost]]&gt;0,RATE_TBL3[[#This Row],[Project-Specific Cost]],RATE_TBL3[[#This Row],[Calculated Unit Rate]])</f>
        <v>40000</v>
      </c>
      <c r="T33" s="28"/>
    </row>
    <row r="34" spans="1:20" s="2" customFormat="1" ht="36">
      <c r="A34" s="25"/>
      <c r="B34" s="364">
        <v>0.28000000000000008</v>
      </c>
      <c r="C34" s="365"/>
      <c r="D34" s="366"/>
      <c r="E34" s="366"/>
      <c r="F34" s="248" t="s">
        <v>18</v>
      </c>
      <c r="G34" s="240" t="s">
        <v>110</v>
      </c>
      <c r="H34" s="32"/>
      <c r="I34" s="432">
        <v>15000</v>
      </c>
      <c r="J34" s="369"/>
      <c r="K34" s="257"/>
      <c r="L34" s="257"/>
      <c r="M34" s="257"/>
      <c r="N34" s="367">
        <f>RATE_TBL3[[#This Row],[Reference Rate]]*IF(inflation&gt;0,inflation,1)</f>
        <v>15000</v>
      </c>
      <c r="O34" s="459"/>
      <c r="P34" s="385">
        <f>'Project-Specific Costs'!I49</f>
        <v>0</v>
      </c>
      <c r="Q34" s="109"/>
      <c r="R34" s="242" t="s">
        <v>174</v>
      </c>
      <c r="S34" s="343">
        <f>IF(RATE_TBL3[[#This Row],[Project-Specific Cost]]&gt;0,RATE_TBL3[[#This Row],[Project-Specific Cost]],RATE_TBL3[[#This Row],[Calculated Unit Rate]])</f>
        <v>15000</v>
      </c>
      <c r="T34" s="28"/>
    </row>
    <row r="35" spans="1:20" s="2" customFormat="1" ht="36">
      <c r="A35" s="25"/>
      <c r="B35" s="364">
        <v>0.29000000000000009</v>
      </c>
      <c r="C35" s="365"/>
      <c r="D35" s="366"/>
      <c r="E35" s="366"/>
      <c r="F35" s="248" t="s">
        <v>19</v>
      </c>
      <c r="G35" s="240" t="s">
        <v>110</v>
      </c>
      <c r="H35" s="32"/>
      <c r="I35" s="432">
        <v>15000</v>
      </c>
      <c r="J35" s="369"/>
      <c r="K35" s="257"/>
      <c r="L35" s="257"/>
      <c r="M35" s="257"/>
      <c r="N35" s="367">
        <f>RATE_TBL3[[#This Row],[Reference Rate]]*IF(inflation&gt;0,inflation,1)</f>
        <v>15000</v>
      </c>
      <c r="O35" s="459"/>
      <c r="P35" s="385">
        <f>'Project-Specific Costs'!I54</f>
        <v>0</v>
      </c>
      <c r="Q35" s="109"/>
      <c r="R35" s="242" t="s">
        <v>174</v>
      </c>
      <c r="S35" s="343">
        <f>IF(RATE_TBL3[[#This Row],[Project-Specific Cost]]&gt;0,RATE_TBL3[[#This Row],[Project-Specific Cost]],RATE_TBL3[[#This Row],[Calculated Unit Rate]])</f>
        <v>15000</v>
      </c>
      <c r="T35" s="28"/>
    </row>
    <row r="36" spans="1:20" s="2" customFormat="1" ht="36">
      <c r="A36" s="25"/>
      <c r="B36" s="364">
        <v>0.3000000000000001</v>
      </c>
      <c r="C36" s="365"/>
      <c r="D36" s="366"/>
      <c r="E36" s="366"/>
      <c r="F36" s="248" t="s">
        <v>403</v>
      </c>
      <c r="G36" s="240" t="s">
        <v>110</v>
      </c>
      <c r="H36" s="32"/>
      <c r="I36" s="432">
        <v>30000</v>
      </c>
      <c r="J36" s="369"/>
      <c r="K36" s="257"/>
      <c r="L36" s="257"/>
      <c r="M36" s="257"/>
      <c r="N36" s="367">
        <f>RATE_TBL3[[#This Row],[Reference Rate]]*IF(inflation&gt;0,inflation,1)</f>
        <v>30000</v>
      </c>
      <c r="O36" s="459"/>
      <c r="P36" s="385">
        <f>'Project-Specific Costs'!I59</f>
        <v>0</v>
      </c>
      <c r="Q36" s="109"/>
      <c r="R36" s="242" t="s">
        <v>174</v>
      </c>
      <c r="S36" s="343">
        <f>IF(RATE_TBL3[[#This Row],[Project-Specific Cost]]&gt;0,RATE_TBL3[[#This Row],[Project-Specific Cost]],RATE_TBL3[[#This Row],[Calculated Unit Rate]])</f>
        <v>30000</v>
      </c>
      <c r="T36" s="28"/>
    </row>
    <row r="37" spans="1:20" s="2" customFormat="1" ht="24">
      <c r="A37" s="25"/>
      <c r="B37" s="364">
        <v>0.31000000000000011</v>
      </c>
      <c r="C37" s="365"/>
      <c r="D37" s="366"/>
      <c r="E37" s="366"/>
      <c r="F37" s="248" t="s">
        <v>111</v>
      </c>
      <c r="G37" s="240"/>
      <c r="H37" s="32"/>
      <c r="I37" s="341" t="s">
        <v>58</v>
      </c>
      <c r="J37" s="369"/>
      <c r="K37" s="257"/>
      <c r="L37" s="257"/>
      <c r="M37" s="257"/>
      <c r="N37" s="367" t="str">
        <f>RATE_TBL3[[#This Row],[Reference Rate]]</f>
        <v>Develop Work Specific Cost</v>
      </c>
      <c r="O37" s="459"/>
      <c r="P37" s="385">
        <f>'Project-Specific Costs'!I71</f>
        <v>0</v>
      </c>
      <c r="Q37" s="109"/>
      <c r="R37" s="242" t="s">
        <v>174</v>
      </c>
      <c r="S37" s="343" t="str">
        <f>IF(RATE_TBL3[[#This Row],[Project-Specific Cost]]&gt;0,RATE_TBL3[[#This Row],[Project-Specific Cost]],RATE_TBL3[[#This Row],[Calculated Unit Rate]])</f>
        <v>Develop Work Specific Cost</v>
      </c>
      <c r="T37" s="28"/>
    </row>
    <row r="38" spans="1:20" s="2" customFormat="1" ht="24">
      <c r="A38" s="25"/>
      <c r="B38" s="371">
        <v>0.32000000000000012</v>
      </c>
      <c r="C38" s="372"/>
      <c r="D38" s="373"/>
      <c r="E38" s="373"/>
      <c r="F38" s="251" t="s">
        <v>177</v>
      </c>
      <c r="G38" s="228"/>
      <c r="H38" s="32"/>
      <c r="I38" s="296" t="s">
        <v>58</v>
      </c>
      <c r="J38" s="374"/>
      <c r="K38" s="229"/>
      <c r="L38" s="229"/>
      <c r="M38" s="229"/>
      <c r="N38" s="359" t="str">
        <f>RATE_TBL3[[#This Row],[Reference Rate]]</f>
        <v>Develop Work Specific Cost</v>
      </c>
      <c r="O38" s="457"/>
      <c r="P38" s="386">
        <f>'Project-Specific Costs'!I77</f>
        <v>0</v>
      </c>
      <c r="Q38" s="109"/>
      <c r="R38" s="230" t="s">
        <v>174</v>
      </c>
      <c r="S38" s="350" t="str">
        <f>IF(RATE_TBL3[[#This Row],[Project-Specific Cost]]&gt;0,RATE_TBL3[[#This Row],[Project-Specific Cost]],RATE_TBL3[[#This Row],[Calculated Unit Rate]])</f>
        <v>Develop Work Specific Cost</v>
      </c>
      <c r="T38" s="28"/>
    </row>
    <row r="39" spans="1:20" s="13" customFormat="1">
      <c r="A39" s="11"/>
      <c r="B39" s="274">
        <v>0.33000000000000013</v>
      </c>
      <c r="C39" s="275"/>
      <c r="D39" s="276" t="s">
        <v>287</v>
      </c>
      <c r="E39" s="276" t="s">
        <v>17</v>
      </c>
      <c r="F39" s="271"/>
      <c r="G39" s="271"/>
      <c r="H39" s="375"/>
      <c r="I39" s="272"/>
      <c r="J39" s="390"/>
      <c r="K39" s="391"/>
      <c r="L39" s="272"/>
      <c r="M39" s="272"/>
      <c r="N39" s="277"/>
      <c r="O39" s="460"/>
      <c r="P39" s="273"/>
      <c r="Q39" s="393"/>
      <c r="R39" s="392"/>
      <c r="S39" s="273"/>
      <c r="T39" s="27"/>
    </row>
    <row r="40" spans="1:20" s="13" customFormat="1" ht="36">
      <c r="A40" s="11"/>
      <c r="B40" s="364">
        <v>0.34000000000000014</v>
      </c>
      <c r="C40" s="365"/>
      <c r="D40" s="366"/>
      <c r="E40" s="366"/>
      <c r="F40" s="248" t="s">
        <v>402</v>
      </c>
      <c r="G40" s="248"/>
      <c r="H40" s="32"/>
      <c r="I40" s="341"/>
      <c r="J40" s="369"/>
      <c r="K40" s="257"/>
      <c r="L40" s="341"/>
      <c r="M40" s="341"/>
      <c r="N40" s="394">
        <v>0.15</v>
      </c>
      <c r="O40" s="459"/>
      <c r="P40" s="363"/>
      <c r="Q40" s="46"/>
      <c r="R40" s="319"/>
      <c r="S40" s="396">
        <f>IF(RATE_TBL3[[#This Row],[Project-Specific Cost]]&gt;0,RATE_TBL3[[#This Row],[Project-Specific Cost]],RATE_TBL3[[#This Row],[Calculated Unit Rate]])</f>
        <v>0.15</v>
      </c>
      <c r="T40" s="27"/>
    </row>
    <row r="41" spans="1:20" ht="24">
      <c r="B41" s="371">
        <v>0.35000000000000014</v>
      </c>
      <c r="C41" s="372"/>
      <c r="D41" s="373"/>
      <c r="E41" s="373"/>
      <c r="F41" s="251" t="s">
        <v>288</v>
      </c>
      <c r="G41" s="251"/>
      <c r="H41" s="32"/>
      <c r="I41" s="296"/>
      <c r="J41" s="374"/>
      <c r="K41" s="229"/>
      <c r="L41" s="296"/>
      <c r="M41" s="296"/>
      <c r="N41" s="395">
        <v>0.1</v>
      </c>
      <c r="O41" s="457"/>
      <c r="P41" s="360"/>
      <c r="Q41" s="46"/>
      <c r="R41" s="320"/>
      <c r="S41" s="396">
        <f>IF(RATE_TBL3[[#This Row],[Project-Specific Cost]]&gt;0,RATE_TBL3[[#This Row],[Project-Specific Cost]],RATE_TBL3[[#This Row],[Calculated Unit Rate]])</f>
        <v>0.1</v>
      </c>
    </row>
    <row r="42" spans="1:20">
      <c r="B42" s="39" t="s">
        <v>64</v>
      </c>
      <c r="C42" s="40"/>
      <c r="D42" s="41"/>
      <c r="E42" s="41"/>
      <c r="F42" s="20"/>
      <c r="G42" s="20"/>
      <c r="H42" s="347"/>
      <c r="I42" s="138"/>
      <c r="J42" s="335"/>
      <c r="K42" s="44"/>
      <c r="L42" s="138"/>
      <c r="M42" s="138"/>
      <c r="N42" s="138"/>
      <c r="O42" s="461"/>
      <c r="P42" s="110"/>
      <c r="Q42" s="381"/>
      <c r="R42" s="111"/>
      <c r="S42" s="128"/>
    </row>
    <row r="43" spans="1:20" ht="10.050000000000001" customHeight="1"/>
    <row r="44" spans="1:20">
      <c r="B44" s="437"/>
      <c r="C44" s="1" t="s">
        <v>363</v>
      </c>
    </row>
    <row r="45" spans="1:20">
      <c r="B45" s="438"/>
      <c r="C45" s="1" t="s">
        <v>365</v>
      </c>
    </row>
    <row r="46" spans="1:20" ht="10.050000000000001" customHeight="1"/>
  </sheetData>
  <sheetProtection sheet="1" objects="1" scenarios="1"/>
  <phoneticPr fontId="8" type="noConversion"/>
  <pageMargins left="0.51181102362204722" right="0.51181102362204722" top="0.74803149606299213" bottom="0.55118110236220474" header="0.31496062992125984" footer="0.31496062992125984"/>
  <pageSetup scale="64" fitToHeight="12" orientation="landscape" horizontalDpi="1200" verticalDpi="1200" r:id="rId1"/>
  <headerFooter>
    <oddHeader>&amp;R&amp;K00-026Mackenzie Valley Land-Use Closure and Reclamation Tool - Closure Costs</oddHeader>
    <oddFooter>&amp;C&amp;K00-033BCL/ DXB&amp;R&amp;K00-033Page &amp;P of &amp;N</oddFooter>
  </headerFooter>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0BC4C-7E53-45B2-8377-CA30B6AD80AE}">
  <sheetPr codeName="Sheet7">
    <tabColor theme="0" tint="-0.499984740745262"/>
    <pageSetUpPr fitToPage="1"/>
  </sheetPr>
  <dimension ref="A1:F5"/>
  <sheetViews>
    <sheetView workbookViewId="0">
      <pane ySplit="3" topLeftCell="A4" activePane="bottomLeft" state="frozen"/>
      <selection pane="bottomLeft" activeCell="C3" sqref="C3"/>
    </sheetView>
  </sheetViews>
  <sheetFormatPr defaultColWidth="8.77734375" defaultRowHeight="18"/>
  <cols>
    <col min="1" max="1" width="1.6640625" style="8" customWidth="1"/>
    <col min="2" max="2" width="6.6640625" style="4" customWidth="1"/>
    <col min="3" max="3" width="36.6640625" style="9" customWidth="1"/>
    <col min="4" max="4" width="18.6640625" style="10" customWidth="1"/>
    <col min="5" max="5" width="36.6640625" style="5" customWidth="1"/>
    <col min="6" max="6" width="1.6640625" style="26" customWidth="1"/>
    <col min="7" max="16384" width="8.77734375" style="9"/>
  </cols>
  <sheetData>
    <row r="1" spans="1:6">
      <c r="A1" s="8" t="str">
        <f>'Costing Questions'!B1</f>
        <v>Closure and Reclamation Tool - Closure Costs_Project Name</v>
      </c>
    </row>
    <row r="2" spans="1:6" customFormat="1" ht="10.050000000000001" customHeight="1">
      <c r="A2" s="8"/>
      <c r="B2" s="4"/>
      <c r="C2" s="9"/>
      <c r="D2" s="10"/>
      <c r="E2" s="5"/>
      <c r="F2" s="424"/>
    </row>
    <row r="3" spans="1:6" customFormat="1" ht="31.2">
      <c r="A3" s="323" t="s">
        <v>239</v>
      </c>
      <c r="B3" s="14" t="s">
        <v>300</v>
      </c>
      <c r="C3" s="129" t="s">
        <v>6</v>
      </c>
      <c r="D3" s="135" t="s">
        <v>4</v>
      </c>
      <c r="E3" s="14" t="s">
        <v>2</v>
      </c>
      <c r="F3" s="424"/>
    </row>
    <row r="4" spans="1:6" customFormat="1">
      <c r="A4" s="8"/>
      <c r="B4" s="139">
        <f>ROW(Table1[[#This Row],[ID]])-ROW(Table1[[#Headers],[ID]])</f>
        <v>1</v>
      </c>
      <c r="C4" s="19" t="s">
        <v>390</v>
      </c>
      <c r="D4" s="136">
        <v>44235</v>
      </c>
      <c r="E4" s="19" t="s">
        <v>391</v>
      </c>
      <c r="F4" s="424"/>
    </row>
    <row r="5" spans="1:6" customFormat="1">
      <c r="A5" s="8"/>
      <c r="B5" s="4"/>
      <c r="C5" s="9"/>
      <c r="D5" s="10"/>
      <c r="E5" s="5"/>
      <c r="F5" s="424"/>
    </row>
  </sheetData>
  <pageMargins left="0.51181102362204722" right="0.51181102362204722" top="0.74803149606299213" bottom="0.55118110236220474" header="0.31496062992125984" footer="0.31496062992125984"/>
  <pageSetup fitToHeight="12" orientation="portrait" horizontalDpi="1200" verticalDpi="1200" r:id="rId1"/>
  <headerFooter>
    <oddHeader>&amp;R&amp;K00-027Mackenzie Valley Land-Use Closure and Reclamation Tool - Closue Costs</oddHeader>
    <oddFooter>&amp;C&amp;K00-033BCL/ DXB&amp;R&amp;K00-033Page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488E1-E0E6-44CE-9916-2D79C8C7A248}">
  <sheetPr codeName="Sheet8">
    <tabColor theme="0" tint="-0.499984740745262"/>
    <pageSetUpPr fitToPage="1"/>
  </sheetPr>
  <dimension ref="A1:H20"/>
  <sheetViews>
    <sheetView workbookViewId="0">
      <pane ySplit="3" topLeftCell="A4" activePane="bottomLeft" state="frozen"/>
      <selection pane="bottomLeft" activeCell="B3" sqref="B3"/>
    </sheetView>
  </sheetViews>
  <sheetFormatPr defaultColWidth="8.77734375" defaultRowHeight="18"/>
  <cols>
    <col min="1" max="1" width="1.6640625" style="8" customWidth="1"/>
    <col min="2" max="3" width="6.6640625" style="4" customWidth="1"/>
    <col min="4" max="4" width="6.6640625" style="9" customWidth="1"/>
    <col min="5" max="5" width="24.6640625" style="9" customWidth="1"/>
    <col min="6" max="6" width="14.6640625" style="5" customWidth="1"/>
    <col min="7" max="7" width="36.6640625" style="9" customWidth="1"/>
    <col min="8" max="8" width="1.6640625" style="26" customWidth="1"/>
    <col min="9" max="16384" width="8.77734375" style="9"/>
  </cols>
  <sheetData>
    <row r="1" spans="1:8">
      <c r="A1" s="8" t="str">
        <f>'Costing Questions'!B1</f>
        <v>Closure and Reclamation Tool - Closure Costs_Project Name</v>
      </c>
    </row>
    <row r="2" spans="1:8" ht="10.050000000000001" customHeight="1"/>
    <row r="3" spans="1:8" s="12" customFormat="1" ht="31.2">
      <c r="A3" s="323" t="s">
        <v>239</v>
      </c>
      <c r="B3" s="14" t="s">
        <v>300</v>
      </c>
      <c r="C3" s="14" t="s">
        <v>97</v>
      </c>
      <c r="D3" s="14" t="s">
        <v>98</v>
      </c>
      <c r="E3" s="14" t="s">
        <v>26</v>
      </c>
      <c r="F3" s="14" t="s">
        <v>65</v>
      </c>
      <c r="G3" s="14" t="s">
        <v>7</v>
      </c>
      <c r="H3" s="27"/>
    </row>
    <row r="4" spans="1:8">
      <c r="B4" s="139">
        <f>ROW(SYS_gen[[#This Row],[ID]])-ROW(SYS_gen[[#Headers],[ID]])</f>
        <v>1</v>
      </c>
      <c r="C4" s="130">
        <v>1</v>
      </c>
      <c r="D4" s="131" t="s">
        <v>1</v>
      </c>
      <c r="E4" s="19"/>
      <c r="F4" s="108"/>
      <c r="G4" s="107"/>
    </row>
    <row r="5" spans="1:8">
      <c r="B5" s="139">
        <f>ROW(SYS_gen[[#This Row],[ID]])-ROW(SYS_gen[[#Headers],[ID]])</f>
        <v>2</v>
      </c>
      <c r="C5" s="130"/>
      <c r="D5" s="131">
        <v>1.01</v>
      </c>
      <c r="E5" s="19" t="s">
        <v>41</v>
      </c>
      <c r="F5" s="108"/>
      <c r="G5" s="107"/>
    </row>
    <row r="6" spans="1:8">
      <c r="B6" s="139">
        <f>ROW(SYS_gen[[#This Row],[ID]])-ROW(SYS_gen[[#Headers],[ID]])</f>
        <v>3</v>
      </c>
      <c r="C6" s="130"/>
      <c r="D6" s="131"/>
      <c r="E6" s="19"/>
      <c r="F6" s="132" t="s">
        <v>22</v>
      </c>
      <c r="G6" s="107"/>
    </row>
    <row r="7" spans="1:8">
      <c r="B7" s="139">
        <f>ROW(SYS_gen[[#This Row],[ID]])-ROW(SYS_gen[[#Headers],[ID]])</f>
        <v>4</v>
      </c>
      <c r="C7" s="130"/>
      <c r="D7" s="131"/>
      <c r="E7" s="19"/>
      <c r="F7" s="132" t="s">
        <v>23</v>
      </c>
      <c r="G7" s="107"/>
    </row>
    <row r="8" spans="1:8">
      <c r="B8" s="139">
        <f>ROW(SYS_gen[[#This Row],[ID]])-ROW(SYS_gen[[#Headers],[ID]])</f>
        <v>5</v>
      </c>
      <c r="C8" s="130"/>
      <c r="D8" s="131">
        <v>1.02</v>
      </c>
      <c r="E8" s="19" t="s">
        <v>304</v>
      </c>
      <c r="F8" s="108"/>
      <c r="G8" s="107"/>
    </row>
    <row r="9" spans="1:8">
      <c r="B9" s="139">
        <f>ROW(SYS_gen[[#This Row],[ID]])-ROW(SYS_gen[[#Headers],[ID]])</f>
        <v>6</v>
      </c>
      <c r="C9" s="130"/>
      <c r="D9" s="131"/>
      <c r="E9" s="19"/>
      <c r="F9" s="132" t="s">
        <v>302</v>
      </c>
      <c r="G9" s="107"/>
    </row>
    <row r="10" spans="1:8">
      <c r="B10" s="139">
        <f>ROW(SYS_gen[[#This Row],[ID]])-ROW(SYS_gen[[#Headers],[ID]])</f>
        <v>7</v>
      </c>
      <c r="C10" s="130"/>
      <c r="D10" s="131"/>
      <c r="E10" s="19"/>
      <c r="F10" s="132" t="s">
        <v>301</v>
      </c>
      <c r="G10" s="107"/>
    </row>
    <row r="11" spans="1:8">
      <c r="B11" s="139">
        <f>ROW(SYS_gen[[#This Row],[ID]])-ROW(SYS_gen[[#Headers],[ID]])</f>
        <v>8</v>
      </c>
      <c r="C11" s="130"/>
      <c r="D11" s="131"/>
      <c r="E11" s="19"/>
      <c r="F11" s="132" t="s">
        <v>23</v>
      </c>
      <c r="G11" s="107"/>
    </row>
    <row r="12" spans="1:8">
      <c r="B12" s="139">
        <f>ROW(SYS_gen[[#This Row],[ID]])-ROW(SYS_gen[[#Headers],[ID]])</f>
        <v>9</v>
      </c>
      <c r="C12" s="130"/>
      <c r="D12" s="131">
        <v>1.03</v>
      </c>
      <c r="E12" s="19" t="s">
        <v>303</v>
      </c>
      <c r="F12" s="108"/>
      <c r="G12" s="107"/>
    </row>
    <row r="13" spans="1:8">
      <c r="B13" s="139">
        <f>ROW(SYS_gen[[#This Row],[ID]])-ROW(SYS_gen[[#Headers],[ID]])</f>
        <v>10</v>
      </c>
      <c r="C13" s="130"/>
      <c r="D13" s="131"/>
      <c r="E13" s="19"/>
      <c r="F13" s="132" t="s">
        <v>305</v>
      </c>
      <c r="G13" s="107"/>
    </row>
    <row r="14" spans="1:8">
      <c r="B14" s="139">
        <f>ROW(SYS_gen[[#This Row],[ID]])-ROW(SYS_gen[[#Headers],[ID]])</f>
        <v>11</v>
      </c>
      <c r="C14" s="130"/>
      <c r="D14" s="131"/>
      <c r="E14" s="19"/>
      <c r="F14" s="132" t="s">
        <v>306</v>
      </c>
      <c r="G14" s="107"/>
    </row>
    <row r="15" spans="1:8">
      <c r="B15" s="139">
        <f>ROW(SYS_gen[[#This Row],[ID]])-ROW(SYS_gen[[#Headers],[ID]])</f>
        <v>12</v>
      </c>
      <c r="C15" s="130"/>
      <c r="D15" s="131"/>
      <c r="E15" s="19"/>
      <c r="F15" s="132" t="s">
        <v>23</v>
      </c>
      <c r="G15" s="107"/>
    </row>
    <row r="16" spans="1:8">
      <c r="B16" s="139">
        <f>ROW(SYS_gen[[#This Row],[ID]])-ROW(SYS_gen[[#Headers],[ID]])</f>
        <v>13</v>
      </c>
      <c r="C16" s="130">
        <v>2</v>
      </c>
      <c r="D16" s="131" t="s">
        <v>5</v>
      </c>
      <c r="E16" s="19"/>
      <c r="F16" s="108"/>
      <c r="G16" s="107"/>
    </row>
    <row r="17" spans="2:7">
      <c r="B17" s="139">
        <f>ROW(SYS_gen[[#This Row],[ID]])-ROW(SYS_gen[[#Headers],[ID]])</f>
        <v>14</v>
      </c>
      <c r="C17" s="130"/>
      <c r="D17" s="131">
        <v>2.0099999999999998</v>
      </c>
      <c r="E17" s="19" t="s">
        <v>375</v>
      </c>
      <c r="F17" s="133">
        <v>2020</v>
      </c>
      <c r="G17" s="29" t="s">
        <v>95</v>
      </c>
    </row>
    <row r="18" spans="2:7" ht="60">
      <c r="B18" s="139">
        <f>ROW(SYS_gen[[#This Row],[ID]])-ROW(SYS_gen[[#Headers],[ID]])</f>
        <v>15</v>
      </c>
      <c r="C18" s="130"/>
      <c r="D18" s="131">
        <v>2.02</v>
      </c>
      <c r="E18" s="19" t="s">
        <v>374</v>
      </c>
      <c r="F18" s="133">
        <v>138.9</v>
      </c>
      <c r="G18" s="150" t="s">
        <v>161</v>
      </c>
    </row>
    <row r="19" spans="2:7" ht="48">
      <c r="B19" s="139">
        <f>ROW(SYS_gen[[#This Row],[ID]])-ROW(SYS_gen[[#Headers],[ID]])</f>
        <v>16</v>
      </c>
      <c r="C19" s="130"/>
      <c r="D19" s="131">
        <v>2.0299999999999998</v>
      </c>
      <c r="E19" s="19" t="s">
        <v>373</v>
      </c>
      <c r="F19" s="452"/>
      <c r="G19" s="453" t="s">
        <v>162</v>
      </c>
    </row>
    <row r="20" spans="2:7" ht="24">
      <c r="B20" s="139">
        <f>ROW(SYS_gen[[#This Row],[ID]])-ROW(SYS_gen[[#Headers],[ID]])</f>
        <v>17</v>
      </c>
      <c r="C20" s="130"/>
      <c r="D20" s="131">
        <v>2.04</v>
      </c>
      <c r="E20" s="19" t="s">
        <v>8</v>
      </c>
      <c r="F20" s="134">
        <f>F19/F18</f>
        <v>0</v>
      </c>
      <c r="G20" s="19" t="s">
        <v>9</v>
      </c>
    </row>
  </sheetData>
  <hyperlinks>
    <hyperlink ref="G18" r:id="rId1" xr:uid="{671687C9-94AE-4189-8BD4-F9A377E77813}"/>
    <hyperlink ref="G19" r:id="rId2" xr:uid="{7CC7D802-4CE0-48A0-9B1F-3AE1FFEBCF06}"/>
  </hyperlinks>
  <pageMargins left="0.51181102362204722" right="0.51181102362204722" top="0.74803149606299213" bottom="0.55118110236220474" header="0.31496062992125984" footer="0.31496062992125984"/>
  <pageSetup orientation="portrait" horizontalDpi="1200" verticalDpi="1200" r:id="rId3"/>
  <headerFooter>
    <oddHeader>&amp;R&amp;K00-027Mackenzie Valley Land-Use Closure and Reclamation Tool - Closue Costs</oddHeader>
    <oddFooter>&amp;C&amp;K00-033BCL/ DXB&amp;R&amp;K00-033Page &amp;P of &amp;N</oddFooter>
  </headerFooter>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E13A1328FA5E419C326E46BC5F49F3" ma:contentTypeVersion="6" ma:contentTypeDescription="Create a new document." ma:contentTypeScope="" ma:versionID="2039d0c577ba59f3f3cf8e5db5e64f3b">
  <xsd:schema xmlns:xsd="http://www.w3.org/2001/XMLSchema" xmlns:xs="http://www.w3.org/2001/XMLSchema" xmlns:p="http://schemas.microsoft.com/office/2006/metadata/properties" xmlns:ns2="67d74a08-da6c-4518-b3dd-c08fa5070b71" xmlns:ns3="af005c88-96ac-49a7-a5af-3c897788bcbd" targetNamespace="http://schemas.microsoft.com/office/2006/metadata/properties" ma:root="true" ma:fieldsID="1a1bd5bff34f4d9d73a61ced061d505a" ns2:_="" ns3:_="">
    <xsd:import namespace="67d74a08-da6c-4518-b3dd-c08fa5070b71"/>
    <xsd:import namespace="af005c88-96ac-49a7-a5af-3c897788bc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74a08-da6c-4518-b3dd-c08fa5070b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005c88-96ac-49a7-a5af-3c897788bcb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592090-AC9F-4AB6-BAF8-0DD90E95EB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74a08-da6c-4518-b3dd-c08fa5070b71"/>
    <ds:schemaRef ds:uri="af005c88-96ac-49a7-a5af-3c897788bc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33CF86-44C6-49C5-A062-B70B44B7A905}">
  <ds:schemaRefs>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 ds:uri="b071b419-b88a-4f80-90ea-e243ec353ef6"/>
    <ds:schemaRef ds:uri="http://www.w3.org/XML/1998/namespace"/>
  </ds:schemaRefs>
</ds:datastoreItem>
</file>

<file path=customXml/itemProps3.xml><?xml version="1.0" encoding="utf-8"?>
<ds:datastoreItem xmlns:ds="http://schemas.openxmlformats.org/officeDocument/2006/customXml" ds:itemID="{2B8E9923-DA3F-4FD0-81DD-5B65008750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20</vt:i4>
      </vt:variant>
    </vt:vector>
  </HeadingPairs>
  <TitlesOfParts>
    <vt:vector size="28" baseType="lpstr">
      <vt:lpstr>Costing Questions</vt:lpstr>
      <vt:lpstr>Project-Specific Costs</vt:lpstr>
      <vt:lpstr>Closure Costs</vt:lpstr>
      <vt:lpstr>Quantities Worksheet</vt:lpstr>
      <vt:lpstr>Activity Rates Worksheet</vt:lpstr>
      <vt:lpstr>Unit Rates Worksheet</vt:lpstr>
      <vt:lpstr>SYS_ Change Log</vt:lpstr>
      <vt:lpstr>SYS_ Gen</vt:lpstr>
      <vt:lpstr>'Closure Costs'!_ftnref1</vt:lpstr>
      <vt:lpstr>allseasonroad</vt:lpstr>
      <vt:lpstr>iceroad</vt:lpstr>
      <vt:lpstr>inflation</vt:lpstr>
      <vt:lpstr>otterload</vt:lpstr>
      <vt:lpstr>otterspeed</vt:lpstr>
      <vt:lpstr>'Closure Costs'!Print_Area</vt:lpstr>
      <vt:lpstr>'Quantities Worksheet'!Print_Area</vt:lpstr>
      <vt:lpstr>'Activity Rates Worksheet'!Print_Titles</vt:lpstr>
      <vt:lpstr>'Closure Costs'!Print_Titles</vt:lpstr>
      <vt:lpstr>'Costing Questions'!Print_Titles</vt:lpstr>
      <vt:lpstr>'Project-Specific Costs'!Print_Titles</vt:lpstr>
      <vt:lpstr>'Quantities Worksheet'!Print_Titles</vt:lpstr>
      <vt:lpstr>'Unit Rates Worksheet'!Print_Titles</vt:lpstr>
      <vt:lpstr>tractorload</vt:lpstr>
      <vt:lpstr>tractorspeed</vt:lpstr>
      <vt:lpstr>truckload</vt:lpstr>
      <vt:lpstr>truckspeed</vt:lpstr>
      <vt:lpstr>winterroad</vt:lpstr>
      <vt:lpstr>wintertrail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Wong</dc:creator>
  <cp:lastModifiedBy>Andrew Wheeler</cp:lastModifiedBy>
  <cp:lastPrinted>2021-02-05T04:55:32Z</cp:lastPrinted>
  <dcterms:created xsi:type="dcterms:W3CDTF">2017-02-20T20:00:34Z</dcterms:created>
  <dcterms:modified xsi:type="dcterms:W3CDTF">2021-03-18T16:37:52Z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0x01010014E13A1328FA5E419C326E46BC5F49F3</vt:lpwstr>
  </property>
</Properties>
</file>